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fprbr0-my.sharepoint.com/personal/fernandonegrini_ufpr_br/Documents/Laboratório/IC25/"/>
    </mc:Choice>
  </mc:AlternateContent>
  <xr:revisionPtr revIDLastSave="815" documentId="8_{6705E2F0-FE14-4747-8355-5146FCF44C67}" xr6:coauthVersionLast="47" xr6:coauthVersionMax="47" xr10:uidLastSave="{AF92E629-9243-4C28-94AF-4BB4CF369AD9}"/>
  <bookViews>
    <workbookView xWindow="-110" yWindow="-110" windowWidth="38620" windowHeight="21100" xr2:uid="{7F8C7F84-ED63-4CCC-872E-F6A43FB99E87}"/>
  </bookViews>
  <sheets>
    <sheet name="pva24" sheetId="4" r:id="rId1"/>
    <sheet name="comparação pva24 - ic25" sheetId="6" r:id="rId2"/>
    <sheet name="ic25" sheetId="1" r:id="rId3"/>
    <sheet name="Gráficos" sheetId="5" r:id="rId4"/>
    <sheet name="Ensaio Mec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F17" i="6"/>
  <c r="G17" i="6"/>
  <c r="H17" i="6"/>
  <c r="I17" i="6"/>
  <c r="J17" i="6"/>
  <c r="K17" i="6"/>
  <c r="L17" i="6"/>
  <c r="M17" i="6"/>
  <c r="N17" i="6"/>
  <c r="O17" i="6"/>
  <c r="Q17" i="6"/>
  <c r="P17" i="6"/>
  <c r="AH2" i="1"/>
  <c r="AG2" i="1"/>
  <c r="V7" i="1"/>
  <c r="V6" i="1"/>
  <c r="V12" i="1"/>
  <c r="V15" i="1"/>
  <c r="V8" i="1"/>
  <c r="V11" i="1"/>
  <c r="V2" i="1"/>
  <c r="AD2" i="1" s="1"/>
  <c r="V13" i="1"/>
  <c r="V5" i="1"/>
  <c r="V4" i="1"/>
  <c r="V10" i="1"/>
  <c r="V16" i="1"/>
  <c r="V14" i="1"/>
  <c r="AE2" i="1" s="1"/>
  <c r="V9" i="1"/>
  <c r="V3" i="1"/>
  <c r="U6" i="1"/>
  <c r="U12" i="1"/>
  <c r="U15" i="1"/>
  <c r="U8" i="1"/>
  <c r="U11" i="1"/>
  <c r="U2" i="1"/>
  <c r="U13" i="1"/>
  <c r="U5" i="1"/>
  <c r="U4" i="1"/>
  <c r="U7" i="1"/>
  <c r="U10" i="1"/>
  <c r="U16" i="1"/>
  <c r="U14" i="1"/>
  <c r="U9" i="1"/>
  <c r="U3" i="1"/>
  <c r="E2" i="6" l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K5" i="6"/>
  <c r="K2" i="6"/>
  <c r="K3" i="6"/>
  <c r="K4" i="6"/>
  <c r="K6" i="6"/>
  <c r="K7" i="6"/>
  <c r="K8" i="6"/>
  <c r="K9" i="6"/>
  <c r="K10" i="6"/>
  <c r="K11" i="6"/>
  <c r="K12" i="6"/>
  <c r="K13" i="6"/>
  <c r="K14" i="6"/>
  <c r="K15" i="6"/>
  <c r="K16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P16" i="4"/>
  <c r="M16" i="4"/>
  <c r="L16" i="4"/>
  <c r="C16" i="4"/>
  <c r="P15" i="4"/>
  <c r="M15" i="4"/>
  <c r="L15" i="4"/>
  <c r="C15" i="4"/>
  <c r="P14" i="4"/>
  <c r="M14" i="4"/>
  <c r="L14" i="4"/>
  <c r="N14" i="4" s="1"/>
  <c r="O14" i="4" s="1"/>
  <c r="C14" i="4"/>
  <c r="P13" i="4"/>
  <c r="M13" i="4"/>
  <c r="L13" i="4"/>
  <c r="C13" i="4"/>
  <c r="P12" i="4"/>
  <c r="M12" i="4"/>
  <c r="L12" i="4"/>
  <c r="N12" i="4" s="1"/>
  <c r="O12" i="4" s="1"/>
  <c r="C12" i="4"/>
  <c r="P11" i="4"/>
  <c r="M11" i="4"/>
  <c r="L11" i="4"/>
  <c r="C11" i="4"/>
  <c r="P10" i="4"/>
  <c r="M10" i="4"/>
  <c r="L10" i="4"/>
  <c r="C10" i="4"/>
  <c r="P9" i="4"/>
  <c r="M9" i="4"/>
  <c r="L9" i="4"/>
  <c r="N9" i="4" s="1"/>
  <c r="O9" i="4" s="1"/>
  <c r="Q9" i="4" s="1"/>
  <c r="C9" i="4"/>
  <c r="P8" i="4"/>
  <c r="M8" i="4"/>
  <c r="L8" i="4"/>
  <c r="N8" i="4" s="1"/>
  <c r="O8" i="4" s="1"/>
  <c r="C8" i="4"/>
  <c r="P7" i="4"/>
  <c r="M7" i="4"/>
  <c r="L7" i="4"/>
  <c r="N7" i="4" s="1"/>
  <c r="O7" i="4" s="1"/>
  <c r="C7" i="4"/>
  <c r="P6" i="4"/>
  <c r="M6" i="4"/>
  <c r="L6" i="4"/>
  <c r="N6" i="4" s="1"/>
  <c r="O6" i="4" s="1"/>
  <c r="Q6" i="4" s="1"/>
  <c r="C6" i="4"/>
  <c r="P5" i="4"/>
  <c r="M5" i="4"/>
  <c r="L5" i="4"/>
  <c r="C5" i="4"/>
  <c r="P4" i="4"/>
  <c r="M4" i="4"/>
  <c r="L4" i="4"/>
  <c r="C4" i="4"/>
  <c r="P3" i="4"/>
  <c r="M3" i="4"/>
  <c r="L3" i="4"/>
  <c r="C3" i="4"/>
  <c r="P2" i="4"/>
  <c r="M2" i="4"/>
  <c r="L2" i="4"/>
  <c r="N2" i="4" s="1"/>
  <c r="O2" i="4" s="1"/>
  <c r="C2" i="4"/>
  <c r="C12" i="1"/>
  <c r="C15" i="1"/>
  <c r="C8" i="1"/>
  <c r="C11" i="1"/>
  <c r="C2" i="1"/>
  <c r="C13" i="1"/>
  <c r="C5" i="1"/>
  <c r="C4" i="1"/>
  <c r="C7" i="1"/>
  <c r="C10" i="1"/>
  <c r="C16" i="1"/>
  <c r="C14" i="1"/>
  <c r="C9" i="1"/>
  <c r="C3" i="1"/>
  <c r="C6" i="1"/>
  <c r="Q6" i="1"/>
  <c r="Q12" i="1"/>
  <c r="Q15" i="1"/>
  <c r="Q8" i="1"/>
  <c r="Q11" i="1"/>
  <c r="P6" i="6" s="1"/>
  <c r="Q2" i="1"/>
  <c r="Q13" i="1"/>
  <c r="Q5" i="1"/>
  <c r="Q4" i="1"/>
  <c r="Q7" i="1"/>
  <c r="Q10" i="1"/>
  <c r="Q16" i="1"/>
  <c r="Q14" i="1"/>
  <c r="Q9" i="1"/>
  <c r="Q3" i="1"/>
  <c r="M6" i="1"/>
  <c r="M12" i="1"/>
  <c r="M15" i="1"/>
  <c r="M8" i="1"/>
  <c r="M11" i="1"/>
  <c r="M2" i="1"/>
  <c r="M13" i="1"/>
  <c r="M5" i="1"/>
  <c r="M4" i="1"/>
  <c r="M7" i="1"/>
  <c r="M10" i="1"/>
  <c r="M16" i="1"/>
  <c r="M14" i="1"/>
  <c r="M9" i="1"/>
  <c r="M3" i="1"/>
  <c r="L6" i="1"/>
  <c r="L12" i="1"/>
  <c r="L15" i="1"/>
  <c r="L8" i="1"/>
  <c r="L11" i="1"/>
  <c r="L2" i="1"/>
  <c r="L13" i="1"/>
  <c r="L5" i="1"/>
  <c r="L4" i="1"/>
  <c r="L7" i="1"/>
  <c r="L10" i="1"/>
  <c r="L16" i="1"/>
  <c r="L14" i="1"/>
  <c r="L9" i="1"/>
  <c r="L3" i="1"/>
  <c r="AF2" i="1" l="1"/>
  <c r="AI2" i="1"/>
  <c r="L16" i="6"/>
  <c r="L4" i="6"/>
  <c r="M7" i="6"/>
  <c r="P10" i="6"/>
  <c r="M6" i="6"/>
  <c r="P9" i="6"/>
  <c r="P8" i="6"/>
  <c r="M16" i="6"/>
  <c r="M5" i="6"/>
  <c r="L5" i="6"/>
  <c r="P16" i="6"/>
  <c r="M3" i="6"/>
  <c r="P11" i="6"/>
  <c r="L15" i="6"/>
  <c r="M15" i="6"/>
  <c r="L10" i="6"/>
  <c r="P15" i="6"/>
  <c r="P2" i="6"/>
  <c r="L12" i="6"/>
  <c r="M12" i="6"/>
  <c r="M9" i="6"/>
  <c r="M2" i="6"/>
  <c r="P5" i="6"/>
  <c r="L14" i="6"/>
  <c r="L3" i="6"/>
  <c r="L2" i="6"/>
  <c r="L13" i="6"/>
  <c r="M4" i="6"/>
  <c r="L11" i="6"/>
  <c r="M14" i="6"/>
  <c r="M13" i="6"/>
  <c r="P4" i="6"/>
  <c r="L9" i="6"/>
  <c r="P3" i="6"/>
  <c r="L8" i="6"/>
  <c r="M11" i="6"/>
  <c r="P14" i="6"/>
  <c r="L7" i="6"/>
  <c r="M10" i="6"/>
  <c r="P13" i="6"/>
  <c r="P7" i="6"/>
  <c r="L6" i="6"/>
  <c r="P12" i="6"/>
  <c r="M8" i="6"/>
  <c r="N15" i="4"/>
  <c r="O15" i="4" s="1"/>
  <c r="Q15" i="4" s="1"/>
  <c r="N16" i="4"/>
  <c r="O16" i="4" s="1"/>
  <c r="Q16" i="4" s="1"/>
  <c r="N13" i="4"/>
  <c r="O13" i="4" s="1"/>
  <c r="Q13" i="4" s="1"/>
  <c r="N4" i="4"/>
  <c r="O4" i="4" s="1"/>
  <c r="Q7" i="4"/>
  <c r="Q4" i="4"/>
  <c r="Q12" i="4"/>
  <c r="N10" i="4"/>
  <c r="O10" i="4" s="1"/>
  <c r="Q10" i="4" s="1"/>
  <c r="N5" i="4"/>
  <c r="O5" i="4" s="1"/>
  <c r="Q5" i="4"/>
  <c r="Q8" i="4"/>
  <c r="N3" i="4"/>
  <c r="O3" i="4" s="1"/>
  <c r="Q3" i="4" s="1"/>
  <c r="N11" i="4"/>
  <c r="O11" i="4" s="1"/>
  <c r="Q11" i="4" s="1"/>
  <c r="Q14" i="4"/>
  <c r="Q2" i="4"/>
  <c r="N9" i="1"/>
  <c r="N12" i="1"/>
  <c r="N3" i="1"/>
  <c r="N15" i="1"/>
  <c r="N2" i="1"/>
  <c r="N14" i="1"/>
  <c r="N6" i="1"/>
  <c r="N16" i="1"/>
  <c r="N10" i="1"/>
  <c r="N7" i="1"/>
  <c r="N5" i="1"/>
  <c r="N8" i="1"/>
  <c r="N13" i="1"/>
  <c r="N11" i="1"/>
  <c r="N4" i="1"/>
  <c r="P10" i="1" l="1"/>
  <c r="P14" i="1"/>
  <c r="R14" i="1" s="1"/>
  <c r="P12" i="1"/>
  <c r="R12" i="1" s="1"/>
  <c r="P16" i="1"/>
  <c r="R16" i="1" s="1"/>
  <c r="P6" i="1"/>
  <c r="R6" i="1" s="1"/>
  <c r="P2" i="1"/>
  <c r="P4" i="1"/>
  <c r="P15" i="1"/>
  <c r="R15" i="1" s="1"/>
  <c r="P11" i="1"/>
  <c r="P3" i="1"/>
  <c r="R3" i="1" s="1"/>
  <c r="P13" i="1"/>
  <c r="R13" i="1" s="1"/>
  <c r="P8" i="1"/>
  <c r="P9" i="1"/>
  <c r="R9" i="1" s="1"/>
  <c r="P5" i="1"/>
  <c r="R5" i="1" s="1"/>
  <c r="P7" i="1"/>
  <c r="R7" i="1" s="1"/>
  <c r="R8" i="1" l="1"/>
  <c r="AA2" i="1"/>
  <c r="R2" i="1"/>
  <c r="Z2" i="1"/>
  <c r="O11" i="6"/>
  <c r="Q13" i="6"/>
  <c r="Q3" i="6"/>
  <c r="Q14" i="6"/>
  <c r="O12" i="6"/>
  <c r="Q9" i="6"/>
  <c r="Q15" i="6"/>
  <c r="Q16" i="6"/>
  <c r="O6" i="6"/>
  <c r="O13" i="6"/>
  <c r="O9" i="6"/>
  <c r="O16" i="6"/>
  <c r="R11" i="1"/>
  <c r="Q6" i="6" s="1"/>
  <c r="O2" i="6"/>
  <c r="O3" i="6"/>
  <c r="O8" i="6"/>
  <c r="R10" i="1"/>
  <c r="Q12" i="6" s="1"/>
  <c r="O4" i="6"/>
  <c r="O15" i="6"/>
  <c r="O7" i="6"/>
  <c r="O5" i="6"/>
  <c r="O14" i="6"/>
  <c r="O10" i="6"/>
  <c r="R4" i="1"/>
  <c r="AC2" i="1" l="1"/>
  <c r="Q8" i="6"/>
  <c r="Q2" i="6"/>
  <c r="AB2" i="1"/>
  <c r="Q11" i="6"/>
  <c r="Q10" i="6"/>
  <c r="Q4" i="6"/>
  <c r="Q7" i="6"/>
  <c r="Q5" i="6"/>
</calcChain>
</file>

<file path=xl/sharedStrings.xml><?xml version="1.0" encoding="utf-8"?>
<sst xmlns="http://schemas.openxmlformats.org/spreadsheetml/2006/main" count="263" uniqueCount="101">
  <si>
    <t>LARGURA A</t>
  </si>
  <si>
    <t>LARGURA B</t>
  </si>
  <si>
    <t>SW</t>
  </si>
  <si>
    <t>ESPESSURA A</t>
  </si>
  <si>
    <t>ESPESSURA B</t>
  </si>
  <si>
    <t>CP NEW</t>
  </si>
  <si>
    <t>CP OLD</t>
  </si>
  <si>
    <t>Coluna1</t>
  </si>
  <si>
    <t>15K</t>
  </si>
  <si>
    <t>16K</t>
  </si>
  <si>
    <t>17K</t>
  </si>
  <si>
    <t>18K</t>
  </si>
  <si>
    <t>19K</t>
  </si>
  <si>
    <t>20K</t>
  </si>
  <si>
    <t>21K</t>
  </si>
  <si>
    <t>22K</t>
  </si>
  <si>
    <t>23K</t>
  </si>
  <si>
    <t>24K</t>
  </si>
  <si>
    <t>25K</t>
  </si>
  <si>
    <t>26K</t>
  </si>
  <si>
    <t>27K</t>
  </si>
  <si>
    <t>28K</t>
  </si>
  <si>
    <t>29K</t>
  </si>
  <si>
    <t>55F</t>
  </si>
  <si>
    <t>49F</t>
  </si>
  <si>
    <t>65F</t>
  </si>
  <si>
    <t>15F</t>
  </si>
  <si>
    <t>38F</t>
  </si>
  <si>
    <t>204G</t>
  </si>
  <si>
    <t>57F</t>
  </si>
  <si>
    <t>50F</t>
  </si>
  <si>
    <t>30F</t>
  </si>
  <si>
    <t>76F</t>
  </si>
  <si>
    <t>206G</t>
  </si>
  <si>
    <t>81F</t>
  </si>
  <si>
    <t>59F</t>
  </si>
  <si>
    <t>16F</t>
  </si>
  <si>
    <t>24F</t>
  </si>
  <si>
    <t>PESO (g)</t>
  </si>
  <si>
    <t>LARGURA MÉD (mm)</t>
  </si>
  <si>
    <t>ESPESSURA MÉD (mm)</t>
  </si>
  <si>
    <t>COMPRIMENTO (cm)</t>
  </si>
  <si>
    <t>VOL (cm³)</t>
  </si>
  <si>
    <t>Densidade Aparente m/V (kg/m³)</t>
  </si>
  <si>
    <t>E (módulo de elasticidade) MPa</t>
  </si>
  <si>
    <t>SW Velocidade (m/s)</t>
  </si>
  <si>
    <t>15K / 55F</t>
  </si>
  <si>
    <t>16K / 49F</t>
  </si>
  <si>
    <t>17K / 65F</t>
  </si>
  <si>
    <t>18K / 15F</t>
  </si>
  <si>
    <t>19K / 38F</t>
  </si>
  <si>
    <t>20K / 204G</t>
  </si>
  <si>
    <t>21K / 57F</t>
  </si>
  <si>
    <t>22K / 50F</t>
  </si>
  <si>
    <t>23K / 30F</t>
  </si>
  <si>
    <t>24K / 76F</t>
  </si>
  <si>
    <t>25K / 206G</t>
  </si>
  <si>
    <t>26K / 81F</t>
  </si>
  <si>
    <t>27K / 59F</t>
  </si>
  <si>
    <t>28K / 16F</t>
  </si>
  <si>
    <t>29K / 24F</t>
  </si>
  <si>
    <t>CP N/V</t>
  </si>
  <si>
    <t>TU (%)</t>
  </si>
  <si>
    <t>VOL sat (cm³)</t>
  </si>
  <si>
    <t>Densidade Básica (kg/m³)</t>
  </si>
  <si>
    <t>Massa (g)</t>
  </si>
  <si>
    <t>Massa amostra úmida (g)</t>
  </si>
  <si>
    <t>Massa amostra seco (g)</t>
  </si>
  <si>
    <t>Base do CP (mm)</t>
  </si>
  <si>
    <t>Altura Média do CP (mm)</t>
  </si>
  <si>
    <t>Max Force (kgf)</t>
  </si>
  <si>
    <t>fm (kgf/cm²)</t>
  </si>
  <si>
    <t>10% FMax (kgf)</t>
  </si>
  <si>
    <t>40% FMax (kgf)</t>
  </si>
  <si>
    <t>Em (MPa)</t>
  </si>
  <si>
    <t>Count</t>
  </si>
  <si>
    <t>Average</t>
  </si>
  <si>
    <t>StdDev</t>
  </si>
  <si>
    <t>Min</t>
  </si>
  <si>
    <t>Max</t>
  </si>
  <si>
    <t>CP</t>
  </si>
  <si>
    <t>A</t>
  </si>
  <si>
    <t>B</t>
  </si>
  <si>
    <t>Grupo Nodosidade</t>
  </si>
  <si>
    <t>Quantidade de nós</t>
  </si>
  <si>
    <t>Característica de Nodosidade</t>
  </si>
  <si>
    <t>borda</t>
  </si>
  <si>
    <t>centro</t>
  </si>
  <si>
    <t>CP NOVO</t>
  </si>
  <si>
    <t>CP N/V (2)</t>
  </si>
  <si>
    <t>Média Densidade Grupo A</t>
  </si>
  <si>
    <t>Média Densidade Grupo B</t>
  </si>
  <si>
    <t>Média MOE (Mpa) Grupo A</t>
  </si>
  <si>
    <t>Média MOE (Mpa) Grupo B</t>
  </si>
  <si>
    <t>Média Densidade Básica (kg/m³) Grupo A</t>
  </si>
  <si>
    <t>Média Densidade Básica (Mpa) Grupo B</t>
  </si>
  <si>
    <t>Média SW Velocidade (m/s) Grupo B</t>
  </si>
  <si>
    <t>Média SW Velocidade (m/s) Grupo A</t>
  </si>
  <si>
    <t>Média Moe Flexão A</t>
  </si>
  <si>
    <t>Média Moe Flexão B</t>
  </si>
  <si>
    <t>em estático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</si>
</sst>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9" fontId="0" fillId="0" borderId="0" xfId="1" applyFont="1"/>
    <xf numFmtId="165" fontId="0" fillId="0" borderId="0" xfId="1" applyNumberFormat="1" applyFont="1"/>
    <xf numFmtId="10" fontId="0" fillId="0" borderId="0" xfId="1" applyNumberFormat="1" applyFont="1"/>
    <xf numFmtId="0" fontId="2" fillId="0" borderId="1" xfId="0" applyFont="1" applyBorder="1"/>
    <xf numFmtId="2" fontId="0" fillId="2" borderId="2" xfId="0" applyNumberFormat="1" applyFill="1" applyBorder="1"/>
    <xf numFmtId="2" fontId="2" fillId="2" borderId="2" xfId="0" applyNumberFormat="1" applyFont="1" applyFill="1" applyBorder="1"/>
    <xf numFmtId="0" fontId="2" fillId="2" borderId="2" xfId="0" applyFont="1" applyFill="1" applyBorder="1"/>
    <xf numFmtId="0" fontId="2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/>
  </cellXfs>
  <cellStyles count="2">
    <cellStyle name="Normal" xfId="0" builtinId="0"/>
    <cellStyle name="Porcentagem" xfId="1" builtinId="5"/>
  </cellStyles>
  <dxfs count="85">
    <dxf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alignment horizontal="right" vertical="bottom" textRotation="0" wrapText="0" indent="0" justifyLastLine="0" shrinkToFit="0" readingOrder="0"/>
    </dxf>
    <dxf>
      <numFmt numFmtId="1" formatCode="0"/>
    </dxf>
    <dxf>
      <numFmt numFmtId="164" formatCode="0.0"/>
    </dxf>
    <dxf>
      <numFmt numFmtId="14" formatCode="0.00%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2" formatCode="0.00"/>
    </dxf>
    <dxf>
      <numFmt numFmtId="164" formatCode="0.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2" formatCode="0.00"/>
    </dxf>
    <dxf>
      <numFmt numFmtId="164" formatCode="0.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715CB9-A6C5-470A-95FE-8421CB3F52C8}" name="pva24_" displayName="pva24_" ref="A1:Q16" totalsRowShown="0">
  <autoFilter ref="A1:Q16" xr:uid="{00C61C9C-ADC6-423A-A52D-1C44EF9AEFBE}"/>
  <tableColumns count="17">
    <tableColumn id="1" xr3:uid="{D0581296-46B2-41B3-BDD2-3A32B3C40E4D}" name="CP N/V" dataDxfId="84"/>
    <tableColumn id="17" xr3:uid="{09A3052C-D9E9-4F61-ADDB-B68A1A573F14}" name="CP NEW" dataDxfId="83"/>
    <tableColumn id="16" xr3:uid="{00EB7CB7-B1D0-40F1-85C1-3F004061571D}" name="Coluna1" dataDxfId="82">
      <calculatedColumnFormula>B2 &amp;" / "&amp; D2</calculatedColumnFormula>
    </tableColumn>
    <tableColumn id="2" xr3:uid="{B6D5D207-6436-41D0-B3BD-932DC81D5774}" name="CP OLD" dataDxfId="81"/>
    <tableColumn id="3" xr3:uid="{A896CB7B-F468-42B4-92A1-A59820079E1E}" name="COMPRIMENTO (cm)" dataDxfId="80"/>
    <tableColumn id="4" xr3:uid="{1C6568C0-532E-48E5-A580-933CBE82C70D}" name="LARGURA A" dataDxfId="79"/>
    <tableColumn id="5" xr3:uid="{D09E2E7D-E55A-4ECF-B8CD-52A6118B10C3}" name="SW" dataDxfId="78"/>
    <tableColumn id="6" xr3:uid="{BB31B3DB-A912-4E31-B6DD-1DE373298201}" name="LARGURA B" dataDxfId="77"/>
    <tableColumn id="7" xr3:uid="{546F1F83-610C-469B-B293-D45AE1BFA58F}" name="ESPESSURA A" dataDxfId="76"/>
    <tableColumn id="8" xr3:uid="{A7DC5BBB-5405-4C08-8891-D80639737848}" name="ESPESSURA B" dataDxfId="75"/>
    <tableColumn id="9" xr3:uid="{6451219D-99C9-4BDD-AA11-467DA854AC3F}" name="PESO (g)" dataDxfId="74"/>
    <tableColumn id="10" xr3:uid="{0CABED59-3542-4C25-8542-58FFB2EF517E}" name="LARGURA MÉD (mm)" dataDxfId="73">
      <calculatedColumnFormula>AVERAGE(pva24_[[#This Row],[LARGURA A]],pva24_[[#This Row],[LARGURA B]])</calculatedColumnFormula>
    </tableColumn>
    <tableColumn id="11" xr3:uid="{E34FBE5B-330D-4EF7-866F-2BC7523E90FE}" name="ESPESSURA MÉD (mm)" dataDxfId="72">
      <calculatedColumnFormula>AVERAGE(pva24_[[#This Row],[ESPESSURA A]],pva24_[[#This Row],[ESPESSURA B]])</calculatedColumnFormula>
    </tableColumn>
    <tableColumn id="12" xr3:uid="{ECD8E4C9-D7A1-4B9F-A1A8-F00FB6B4D83E}" name="VOL (cm³)" dataDxfId="71">
      <calculatedColumnFormula>pva24_[[#This Row],[COMPRIMENTO (cm)]]*(pva24_[[#This Row],[LARGURA MÉD (mm)]]*100)*(pva24_[[#This Row],[ESPESSURA MÉD (mm)]]*100)</calculatedColumnFormula>
    </tableColumn>
    <tableColumn id="13" xr3:uid="{9EB02E48-917C-4141-8B9E-F74FC7F717AF}" name="Densidade Aparente m/V (kg/m³)" dataDxfId="70">
      <calculatedColumnFormula>(pva24_[[#This Row],[PESO (g)]]*1000)/(pva24_[[#This Row],[VOL (cm³)]])*1000000</calculatedColumnFormula>
    </tableColumn>
    <tableColumn id="14" xr3:uid="{C55C3415-EE31-4A88-8E10-9EEF2584EACC}" name="SW Velocidade (m/s)" dataDxfId="69">
      <calculatedColumnFormula>(pva24_[[#This Row],[COMPRIMENTO (cm)]]/100)/(pva24_[[#This Row],[SW]]/1000000)</calculatedColumnFormula>
    </tableColumn>
    <tableColumn id="15" xr3:uid="{0AB784A4-64C2-4168-8A11-165A5DC8B177}" name="E (módulo de elasticidade) MPa" dataDxfId="68">
      <calculatedColumnFormula>(((pva24_[[#This Row],[SW Velocidade (m/s)]]^2)*pva24_[[#This Row],[Densidade Aparente m/V (kg/m³)]])/1000000)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9B3DF1-0BBE-4335-BCB4-5A357AA3AB50}" name="compare_" displayName="compare_" ref="A1:Q17" totalsRowCount="1">
  <autoFilter ref="A1:Q16" xr:uid="{00C61C9C-ADC6-423A-A52D-1C44EF9AEFBE}"/>
  <tableColumns count="17">
    <tableColumn id="1" xr3:uid="{49969740-9E13-4439-9749-F4D1CAD94CA7}" name="CP N/V" dataDxfId="67" totalsRowDxfId="66"/>
    <tableColumn id="17" xr3:uid="{BF90DECA-BDA7-4B14-A08D-2ECDB331CA08}" name="CP NEW" dataDxfId="65" totalsRowDxfId="64"/>
    <tableColumn id="16" xr3:uid="{A39D9561-6365-42B6-8E4C-B3F75F10F236}" name="Coluna1" dataDxfId="63" totalsRowDxfId="62">
      <calculatedColumnFormula>B2 &amp;" / "&amp; D2</calculatedColumnFormula>
    </tableColumn>
    <tableColumn id="2" xr3:uid="{C4D04FEE-E145-4736-A42A-CEC2693DDBB3}" name="CP OLD" dataDxfId="61" totalsRowDxfId="60"/>
    <tableColumn id="3" xr3:uid="{F05E5EF6-9366-443C-8107-3D3BAFE5CD69}" name="COMPRIMENTO (cm)" totalsRowFunction="custom" dataDxfId="59" totalsRowDxfId="58">
      <calculatedColumnFormula>(pva24_[[#This Row],[COMPRIMENTO (cm)]] - ic25_[[#This Row],[COMPRIMENTO (cm)]])</calculatedColumnFormula>
      <totalsRowFormula>AVERAGE(compare_[COMPRIMENTO (cm)])</totalsRowFormula>
    </tableColumn>
    <tableColumn id="4" xr3:uid="{85846654-04AF-469F-AEF7-84CB58CC9176}" name="LARGURA A" totalsRowFunction="custom" dataDxfId="57" totalsRowDxfId="56">
      <totalsRowFormula>AVERAGE(compare_[LARGURA A])</totalsRowFormula>
    </tableColumn>
    <tableColumn id="5" xr3:uid="{707556C8-D3B6-464B-8868-4F4D75EC8296}" name="SW" totalsRowFunction="custom" dataDxfId="55" totalsRowDxfId="54" dataCellStyle="Porcentagem">
      <calculatedColumnFormula>(pva24_[[#This Row],[SW]] - ic25_[[#This Row],[SW]]) / (ic25_[[#This Row],[SW]])</calculatedColumnFormula>
      <totalsRowFormula>AVERAGE(compare_[SW])</totalsRowFormula>
    </tableColumn>
    <tableColumn id="6" xr3:uid="{14C746D2-7E87-44CD-AD84-F7A5DFC9882C}" name="LARGURA B" totalsRowFunction="custom" dataDxfId="53" totalsRowDxfId="52">
      <totalsRowFormula>AVERAGE(compare_[LARGURA B])</totalsRowFormula>
    </tableColumn>
    <tableColumn id="7" xr3:uid="{3BC170D7-ED65-49C2-9D8F-2F202E7ECAE9}" name="ESPESSURA A" totalsRowFunction="custom" dataDxfId="51" totalsRowDxfId="50">
      <totalsRowFormula>AVERAGE(compare_[ESPESSURA A])</totalsRowFormula>
    </tableColumn>
    <tableColumn id="8" xr3:uid="{AA3B0055-876E-44CF-ABD4-E25AB1E656F4}" name="ESPESSURA B" totalsRowFunction="custom" dataDxfId="49" totalsRowDxfId="48">
      <totalsRowFormula>AVERAGE(compare_[ESPESSURA B])</totalsRowFormula>
    </tableColumn>
    <tableColumn id="9" xr3:uid="{D7F640F2-ADCB-438B-ADBA-D081B0132BBA}" name="PESO (g)" totalsRowFunction="custom" dataDxfId="47" totalsRowDxfId="46" dataCellStyle="Porcentagem">
      <calculatedColumnFormula>(pva24_[[#This Row],[PESO (g)]] - ic25_[[#This Row],[Massa (g)]]) / (ic25_[[#This Row],[Massa (g)]])</calculatedColumnFormula>
      <totalsRowFormula>AVERAGE(compare_[PESO (g)])</totalsRowFormula>
    </tableColumn>
    <tableColumn id="10" xr3:uid="{E50B9957-14C5-4039-8998-80C445661EED}" name="LARGURA MÉD (mm)" totalsRowFunction="custom" dataDxfId="45" totalsRowDxfId="44" dataCellStyle="Porcentagem">
      <calculatedColumnFormula>(pva24_[[#This Row],[LARGURA MÉD (mm)]] - ic25_[[#This Row],[LARGURA MÉD (mm)]]) / (ic25_[[#This Row],[LARGURA MÉD (mm)]])</calculatedColumnFormula>
      <totalsRowFormula>AVERAGE(compare_[LARGURA MÉD (mm)])</totalsRowFormula>
    </tableColumn>
    <tableColumn id="11" xr3:uid="{D4098AA4-D815-4138-BFCD-5051219705CE}" name="ESPESSURA MÉD (mm)" totalsRowFunction="custom" dataDxfId="43" totalsRowDxfId="42" dataCellStyle="Porcentagem">
      <calculatedColumnFormula>(pva24_[[#This Row],[ESPESSURA MÉD (mm)]] - ic25_[[#This Row],[ESPESSURA MÉD (mm)]]) / (ic25_[[#This Row],[ESPESSURA MÉD (mm)]])</calculatedColumnFormula>
      <totalsRowFormula>AVERAGE(compare_[ESPESSURA MÉD (mm)])</totalsRowFormula>
    </tableColumn>
    <tableColumn id="12" xr3:uid="{4E66E63D-CB7D-4082-AD32-413406CA1E27}" name="VOL (cm³)" totalsRowFunction="custom" dataDxfId="41" totalsRowDxfId="40">
      <totalsRowFormula>AVERAGE(compare_[VOL (cm³)])</totalsRowFormula>
    </tableColumn>
    <tableColumn id="13" xr3:uid="{2661DD49-02E3-4E4F-9510-41200B778A60}" name="Densidade Aparente m/V (kg/m³)" totalsRowFunction="custom" dataDxfId="39" totalsRowDxfId="38" dataCellStyle="Porcentagem">
      <calculatedColumnFormula>(pva24_[[#This Row],[Densidade Aparente m/V (kg/m³)]] - ic25_[[#This Row],[Densidade Aparente m/V (kg/m³)]]) / (ic25_[[#This Row],[Densidade Aparente m/V (kg/m³)]])</calculatedColumnFormula>
      <totalsRowFormula>AVERAGE(compare_[Densidade Aparente m/V (kg/m³)])</totalsRowFormula>
    </tableColumn>
    <tableColumn id="14" xr3:uid="{5D4C902A-9FCB-4254-81DD-EDB5456B276E}" name="SW Velocidade (m/s)" totalsRowFunction="custom" dataDxfId="37" totalsRowDxfId="36" dataCellStyle="Porcentagem">
      <calculatedColumnFormula>(pva24_[[#This Row],[SW Velocidade (m/s)]] - ic25_[[#This Row],[SW Velocidade (m/s)]]) / (ic25_[[#This Row],[SW Velocidade (m/s)]])</calculatedColumnFormula>
      <totalsRowFormula>AVERAGE(compare_[SW Velocidade (m/s)])</totalsRowFormula>
    </tableColumn>
    <tableColumn id="15" xr3:uid="{095B1FFC-1B18-44B1-8E12-B7FF3B18DA81}" name="E (módulo de elasticidade) MPa" totalsRowFunction="custom" totalsRowDxfId="35" dataCellStyle="Porcentagem">
      <calculatedColumnFormula>(pva24_[[#This Row],[E (módulo de elasticidade) MPa]] - ic25_[[#This Row],[E (módulo de elasticidade) MPa]]) / (ic25_[[#This Row],[E (módulo de elasticidade) MPa]])</calculatedColumnFormula>
      <totalsRowFormula>AVERAGE(compare_[E (módulo de elasticidade) MPa])</totalsRow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C61C9C-ADC6-423A-A52D-1C44EF9AEFBE}" name="ic25_" displayName="ic25_" ref="A1:AJ16" totalsRowShown="0">
  <autoFilter ref="A1:AJ16" xr:uid="{00C61C9C-ADC6-423A-A52D-1C44EF9AEFBE}"/>
  <sortState xmlns:xlrd2="http://schemas.microsoft.com/office/spreadsheetml/2017/richdata2" ref="A2:Y16">
    <sortCondition ref="X1:X16"/>
  </sortState>
  <tableColumns count="36">
    <tableColumn id="1" xr3:uid="{9BFCECDE-4ADD-4614-9F40-B7395A281FDF}" name="CP N/V" dataDxfId="34"/>
    <tableColumn id="17" xr3:uid="{8C7790BE-006D-4227-B7F0-DBD62545B458}" name="CP NOVO" dataDxfId="33"/>
    <tableColumn id="16" xr3:uid="{D027886B-BB78-468D-A5DA-8027075E499E}" name="CP N/V (2)" dataDxfId="32">
      <calculatedColumnFormula>B2 &amp;" / "&amp; D2</calculatedColumnFormula>
    </tableColumn>
    <tableColumn id="2" xr3:uid="{A5AECFFD-5FEF-482E-9560-DCA8EA579726}" name="CP OLD" dataDxfId="31"/>
    <tableColumn id="3" xr3:uid="{C457DC0A-7B96-4AE1-8AA8-1367D3508C81}" name="COMPRIMENTO (cm)" dataDxfId="30"/>
    <tableColumn id="4" xr3:uid="{690F006B-74DA-4C1A-85EE-5AACFA32361D}" name="LARGURA A" dataDxfId="29"/>
    <tableColumn id="5" xr3:uid="{8DBEABA9-810E-4AD0-885D-2C73936A5ED4}" name="SW" dataDxfId="28"/>
    <tableColumn id="6" xr3:uid="{68F8E76C-CA3E-4041-BCF4-3B359A51754E}" name="LARGURA B" dataDxfId="27"/>
    <tableColumn id="7" xr3:uid="{A0C4ECE2-0AE8-40C1-B029-5CFFC57B5398}" name="ESPESSURA A" dataDxfId="26"/>
    <tableColumn id="8" xr3:uid="{C0CCBD5B-CA6F-46E3-BBC9-3B0E655B92E6}" name="ESPESSURA B" dataDxfId="25"/>
    <tableColumn id="9" xr3:uid="{A94B20DD-6FD0-4A6F-9E9E-EE2A640C4388}" name="Massa (g)" dataDxfId="24"/>
    <tableColumn id="10" xr3:uid="{0C5AB862-4FB0-480B-B81D-09253C4F2B34}" name="LARGURA MÉD (mm)" dataDxfId="23">
      <calculatedColumnFormula>AVERAGE(ic25_[[#This Row],[LARGURA A]],ic25_[[#This Row],[LARGURA B]])</calculatedColumnFormula>
    </tableColumn>
    <tableColumn id="11" xr3:uid="{8540EFDC-3811-460E-989F-0D406A46CB0D}" name="ESPESSURA MÉD (mm)" dataDxfId="22">
      <calculatedColumnFormula>AVERAGE(ic25_[[#This Row],[ESPESSURA A]],ic25_[[#This Row],[ESPESSURA B]])</calculatedColumnFormula>
    </tableColumn>
    <tableColumn id="12" xr3:uid="{E74EE6D8-024C-4616-B04A-2AAA1D4AA04B}" name="VOL (cm³)" dataDxfId="21">
      <calculatedColumnFormula>ic25_[[#This Row],[COMPRIMENTO (cm)]]*(ic25_[[#This Row],[LARGURA MÉD (mm)]]*100)*(ic25_[[#This Row],[ESPESSURA MÉD (mm)]]*100)</calculatedColumnFormula>
    </tableColumn>
    <tableColumn id="22" xr3:uid="{9FF88C1C-8DEB-40F8-88E5-6B9E2F70AE59}" name="VOL sat (cm³)" dataDxfId="20"/>
    <tableColumn id="13" xr3:uid="{FF05CFFD-F5B2-4806-9CC5-C7910DD1D848}" name="Densidade Aparente m/V (kg/m³)" dataDxfId="19">
      <calculatedColumnFormula>(ic25_[[#This Row],[Massa (g)]]*1000)/(ic25_[[#This Row],[VOL (cm³)]])*1000000</calculatedColumnFormula>
    </tableColumn>
    <tableColumn id="14" xr3:uid="{FFC36824-747D-4CFD-8415-C7EB9415EBEF}" name="SW Velocidade (m/s)" dataDxfId="18">
      <calculatedColumnFormula>(ic25_[[#This Row],[COMPRIMENTO (cm)]]/100)/(ic25_[[#This Row],[SW]]/1000000)</calculatedColumnFormula>
    </tableColumn>
    <tableColumn id="15" xr3:uid="{388E511C-9BC7-43F2-B51B-E7B7829810BB}" name="E (módulo de elasticidade) MPa" dataDxfId="17">
      <calculatedColumnFormula>(((ic25_[[#This Row],[SW Velocidade (m/s)]]^2)*ic25_[[#This Row],[Densidade Aparente m/V (kg/m³)]])/1000000)</calculatedColumnFormula>
    </tableColumn>
    <tableColumn id="18" xr3:uid="{98856F91-40AE-4C21-96BA-FCFC9F41A14D}" name="Massa amostra úmida (g)" dataDxfId="16"/>
    <tableColumn id="19" xr3:uid="{19D61389-DBA5-4ECF-A011-35AE0ED3360C}" name="Massa amostra seco (g)" dataDxfId="15"/>
    <tableColumn id="20" xr3:uid="{FDB7ADC4-FBB0-4DB6-B2CA-2B72AB840788}" name="TU (%)" dataDxfId="14" dataCellStyle="Porcentagem">
      <calculatedColumnFormula>((ic25_[[#This Row],[Massa amostra úmida (g)]]-ic25_[[#This Row],[Massa amostra seco (g)]])/ic25_[[#This Row],[Massa amostra úmida (g)]])</calculatedColumnFormula>
    </tableColumn>
    <tableColumn id="25" xr3:uid="{EACBC658-516A-46A8-8546-20A90C00D601}" name="Densidade Básica (kg/m³)" dataDxfId="13">
      <calculatedColumnFormula>(((ic25_[[#This Row],[Massa amostra seco (g)]]/1000)/(ic25_[[#This Row],[VOL sat (cm³)]]/1000000)))</calculatedColumnFormula>
    </tableColumn>
    <tableColumn id="21" xr3:uid="{7C94F836-3800-48EE-A373-59C50ACAF4E3}" name="Quantidade de nós" dataDxfId="12"/>
    <tableColumn id="23" xr3:uid="{3AA0F3FF-B9EE-4163-99EC-6D1AAA14434F}" name="Grupo Nodosidade" dataDxfId="11"/>
    <tableColumn id="24" xr3:uid="{85972AD1-273A-4352-91F0-20BAD3F20FAB}" name="Característica de Nodosidade"/>
    <tableColumn id="26" xr3:uid="{0B434DA2-6C00-4E0A-956D-53ACC46337A7}" name="Média Densidade Grupo A" dataDxfId="10">
      <calculatedColumnFormula>AVERAGEIF(ic25_[Grupo Nodosidade],"A",ic25_[Densidade Aparente m/V (kg/m³)])</calculatedColumnFormula>
    </tableColumn>
    <tableColumn id="27" xr3:uid="{1E482CE4-D501-4D5F-AD1A-75ED5F86E5E9}" name="Média Densidade Grupo B" dataDxfId="9">
      <calculatedColumnFormula>AVERAGEIF(ic25_[Grupo Nodosidade],"B",ic25_[Densidade Aparente m/V (kg/m³)])</calculatedColumnFormula>
    </tableColumn>
    <tableColumn id="28" xr3:uid="{0DA1A2FC-FC2E-4E3D-9EC5-7F7D67DE3403}" name="Média MOE (Mpa) Grupo A" dataDxfId="8">
      <calculatedColumnFormula>AVERAGEIF(ic25_[Grupo Nodosidade],"A",ic25_[E (módulo de elasticidade) MPa])</calculatedColumnFormula>
    </tableColumn>
    <tableColumn id="29" xr3:uid="{F3F4FA05-2871-4875-8396-56B1F568D88D}" name="Média MOE (Mpa) Grupo B" dataDxfId="7">
      <calculatedColumnFormula>AVERAGEIF(ic25_[Grupo Nodosidade],"B",ic25_[E (módulo de elasticidade) MPa])</calculatedColumnFormula>
    </tableColumn>
    <tableColumn id="30" xr3:uid="{641727AF-7995-4844-BAD1-8FDE5084AC76}" name="Média Densidade Básica (kg/m³) Grupo A" dataDxfId="6">
      <calculatedColumnFormula>AVERAGEIF(ic25_[Grupo Nodosidade],"A",ic25_[Densidade Básica (kg/m³)])</calculatedColumnFormula>
    </tableColumn>
    <tableColumn id="31" xr3:uid="{4BA54C25-057C-4ACC-8B19-0878A7B498BF}" name="Média Densidade Básica (Mpa) Grupo B" dataDxfId="5">
      <calculatedColumnFormula>AVERAGEIF(ic25_[Grupo Nodosidade],"B",ic25_[Densidade Básica (kg/m³)])</calculatedColumnFormula>
    </tableColumn>
    <tableColumn id="32" xr3:uid="{390AA9F0-1414-4613-9D84-C924F85EE2F1}" name="Média SW Velocidade (m/s) Grupo A" dataDxfId="4">
      <calculatedColumnFormula>AVERAGEIF(ic25_[Grupo Nodosidade],"A",ic25_[SW Velocidade (m/s)])</calculatedColumnFormula>
    </tableColumn>
    <tableColumn id="35" xr3:uid="{481C0811-167D-4E5A-B888-080637ED00CE}" name="Média Moe Flexão A" dataDxfId="3">
      <calculatedColumnFormula>AVERAGEIF(ic25_[Grupo Nodosidade],"A",ic25_[[#Headers],[em estático]])</calculatedColumnFormula>
    </tableColumn>
    <tableColumn id="34" xr3:uid="{75DDFCE7-28A4-4683-BC14-82E3E4F3EF5C}" name="Média Moe Flexão B" dataDxfId="2">
      <calculatedColumnFormula>AVERAGEIF(ic25_[Grupo Nodosidade],"B",ic25_[[#Headers],[em estático]])</calculatedColumnFormula>
    </tableColumn>
    <tableColumn id="33" xr3:uid="{CBEE2BD2-6C18-4CBD-8646-C7C988A93FFB}" name="Média SW Velocidade (m/s) Grupo B" dataDxfId="1">
      <calculatedColumnFormula>AVERAGEIF(ic25_[Grupo Nodosidade],"B",ic25_[SW Velocidade (m/s)])</calculatedColumnFormula>
    </tableColumn>
    <tableColumn id="36" xr3:uid="{57E704AA-7A59-4E20-A772-33E13AAF8EF3}" name="em estático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E027-7ACD-41E6-ABC7-57DA15CB44E7}">
  <dimension ref="A1:Q16"/>
  <sheetViews>
    <sheetView tabSelected="1" zoomScale="101" zoomScaleNormal="85" workbookViewId="0">
      <pane xSplit="4" topLeftCell="E1" activePane="topRight" state="frozen"/>
      <selection pane="topRight" activeCell="E2" sqref="E2:F2"/>
    </sheetView>
  </sheetViews>
  <sheetFormatPr defaultRowHeight="14.5" x14ac:dyDescent="0.35"/>
  <cols>
    <col min="1" max="1" width="9.90625" style="4" bestFit="1" customWidth="1"/>
    <col min="2" max="2" width="21.36328125" style="4" customWidth="1"/>
    <col min="3" max="3" width="11.36328125" style="4" customWidth="1"/>
    <col min="4" max="4" width="50.453125" style="4" customWidth="1"/>
    <col min="5" max="5" width="23.1796875" customWidth="1"/>
    <col min="6" max="6" width="14.90625" customWidth="1"/>
    <col min="7" max="7" width="7.36328125" customWidth="1"/>
    <col min="8" max="8" width="12.54296875" customWidth="1"/>
    <col min="9" max="9" width="14.54296875" customWidth="1"/>
    <col min="10" max="10" width="15.54296875" bestFit="1" customWidth="1"/>
    <col min="11" max="11" width="10.36328125" bestFit="1" customWidth="1"/>
    <col min="12" max="12" width="20.36328125" bestFit="1" customWidth="1"/>
    <col min="13" max="13" width="22.36328125" bestFit="1" customWidth="1"/>
    <col min="14" max="14" width="15.08984375" bestFit="1" customWidth="1"/>
    <col min="15" max="15" width="30.6328125" bestFit="1" customWidth="1"/>
    <col min="16" max="16" width="12.90625" customWidth="1"/>
    <col min="17" max="17" width="29.6328125" bestFit="1" customWidth="1"/>
  </cols>
  <sheetData>
    <row r="1" spans="1:17" x14ac:dyDescent="0.35">
      <c r="A1" s="4" t="s">
        <v>61</v>
      </c>
      <c r="B1" s="4" t="s">
        <v>5</v>
      </c>
      <c r="C1" s="4" t="s">
        <v>7</v>
      </c>
      <c r="D1" s="4" t="s">
        <v>6</v>
      </c>
      <c r="E1" t="s">
        <v>41</v>
      </c>
      <c r="F1" t="s">
        <v>0</v>
      </c>
      <c r="G1" t="s">
        <v>2</v>
      </c>
      <c r="H1" t="s">
        <v>1</v>
      </c>
      <c r="I1" t="s">
        <v>3</v>
      </c>
      <c r="J1" t="s">
        <v>4</v>
      </c>
      <c r="K1" t="s">
        <v>38</v>
      </c>
      <c r="L1" t="s">
        <v>39</v>
      </c>
      <c r="M1" t="s">
        <v>40</v>
      </c>
      <c r="N1" t="s">
        <v>42</v>
      </c>
      <c r="O1" t="s">
        <v>43</v>
      </c>
      <c r="P1" t="s">
        <v>45</v>
      </c>
      <c r="Q1" t="s">
        <v>44</v>
      </c>
    </row>
    <row r="2" spans="1:17" x14ac:dyDescent="0.35">
      <c r="A2" s="4" t="s">
        <v>46</v>
      </c>
      <c r="B2" s="4" t="s">
        <v>8</v>
      </c>
      <c r="C2" s="4" t="str">
        <f>B2 &amp;" / "&amp; D2</f>
        <v>15K / 55F</v>
      </c>
      <c r="D2" s="4" t="s">
        <v>23</v>
      </c>
      <c r="E2" s="2">
        <v>263.8</v>
      </c>
      <c r="F2" s="3">
        <v>138.55000000000001</v>
      </c>
      <c r="G2" s="1">
        <v>531</v>
      </c>
      <c r="H2" s="3">
        <v>138.75</v>
      </c>
      <c r="I2" s="3">
        <v>34.79</v>
      </c>
      <c r="J2" s="3">
        <v>34.46</v>
      </c>
      <c r="K2" s="1">
        <v>5580</v>
      </c>
      <c r="L2" s="3">
        <f>AVERAGE(pva24_[[#This Row],[LARGURA A]],pva24_[[#This Row],[LARGURA B]])</f>
        <v>138.65</v>
      </c>
      <c r="M2" s="3">
        <f>AVERAGE(pva24_[[#This Row],[ESPESSURA A]],pva24_[[#This Row],[ESPESSURA B]])</f>
        <v>34.625</v>
      </c>
      <c r="N2" s="3">
        <f>pva24_[[#This Row],[COMPRIMENTO (cm)]]*(pva24_[[#This Row],[LARGURA MÉD (mm)]]*100)*(pva24_[[#This Row],[ESPESSURA MÉD (mm)]]*100)</f>
        <v>12664394987.5</v>
      </c>
      <c r="O2" s="3">
        <f>(pva24_[[#This Row],[PESO (g)]]*1000)/(pva24_[[#This Row],[VOL (cm³)]])*1000000</f>
        <v>440.60533531270676</v>
      </c>
      <c r="P2" s="3">
        <f>(pva24_[[#This Row],[COMPRIMENTO (cm)]]/100)/(pva24_[[#This Row],[SW]]/1000000)</f>
        <v>4967.9849340866285</v>
      </c>
      <c r="Q2" s="3">
        <f>(((pva24_[[#This Row],[SW Velocidade (m/s)]]^2)*pva24_[[#This Row],[Densidade Aparente m/V (kg/m³)]])/1000000)</f>
        <v>10874.52489910264</v>
      </c>
    </row>
    <row r="3" spans="1:17" x14ac:dyDescent="0.35">
      <c r="A3" s="4" t="s">
        <v>47</v>
      </c>
      <c r="B3" s="4" t="s">
        <v>9</v>
      </c>
      <c r="C3" s="4" t="str">
        <f t="shared" ref="C3:C16" si="0">B3 &amp;" / "&amp; D3</f>
        <v>16K / 49F</v>
      </c>
      <c r="D3" s="4" t="s">
        <v>24</v>
      </c>
      <c r="E3" s="2">
        <v>263.8</v>
      </c>
      <c r="F3" s="3">
        <v>138.55000000000001</v>
      </c>
      <c r="G3" s="1">
        <v>606</v>
      </c>
      <c r="H3" s="3">
        <v>138.38999999999999</v>
      </c>
      <c r="I3" s="3">
        <v>35.130000000000003</v>
      </c>
      <c r="J3" s="3">
        <v>34.86</v>
      </c>
      <c r="K3" s="1">
        <v>5025</v>
      </c>
      <c r="L3" s="3">
        <f>AVERAGE(pva24_[[#This Row],[LARGURA A]],pva24_[[#This Row],[LARGURA B]])</f>
        <v>138.47</v>
      </c>
      <c r="M3" s="3">
        <f>AVERAGE(pva24_[[#This Row],[ESPESSURA A]],pva24_[[#This Row],[ESPESSURA B]])</f>
        <v>34.995000000000005</v>
      </c>
      <c r="N3" s="3">
        <f>pva24_[[#This Row],[COMPRIMENTO (cm)]]*(pva24_[[#This Row],[LARGURA MÉD (mm)]]*100)*(pva24_[[#This Row],[ESPESSURA MÉD (mm)]]*100)</f>
        <v>12783108680.700003</v>
      </c>
      <c r="O3" s="3">
        <f>(pva24_[[#This Row],[PESO (g)]]*1000)/(pva24_[[#This Row],[VOL (cm³)]])*1000000</f>
        <v>393.09686911969766</v>
      </c>
      <c r="P3" s="3">
        <f>(pva24_[[#This Row],[COMPRIMENTO (cm)]]/100)/(pva24_[[#This Row],[SW]]/1000000)</f>
        <v>4353.1353135313529</v>
      </c>
      <c r="Q3" s="3">
        <f>(((pva24_[[#This Row],[SW Velocidade (m/s)]]^2)*pva24_[[#This Row],[Densidade Aparente m/V (kg/m³)]])/1000000)</f>
        <v>7449.1019629508455</v>
      </c>
    </row>
    <row r="4" spans="1:17" x14ac:dyDescent="0.35">
      <c r="A4" s="4" t="s">
        <v>48</v>
      </c>
      <c r="B4" s="4" t="s">
        <v>10</v>
      </c>
      <c r="C4" s="4" t="str">
        <f t="shared" si="0"/>
        <v>17K / 65F</v>
      </c>
      <c r="D4" s="4" t="s">
        <v>25</v>
      </c>
      <c r="E4" s="2">
        <v>262.89999999999998</v>
      </c>
      <c r="F4" s="3">
        <v>139.16999999999999</v>
      </c>
      <c r="G4" s="1">
        <v>595</v>
      </c>
      <c r="H4" s="3">
        <v>138.34</v>
      </c>
      <c r="I4" s="3">
        <v>34.51</v>
      </c>
      <c r="J4" s="3">
        <v>34.49</v>
      </c>
      <c r="K4" s="1">
        <v>5700</v>
      </c>
      <c r="L4" s="3">
        <f>AVERAGE(pva24_[[#This Row],[LARGURA A]],pva24_[[#This Row],[LARGURA B]])</f>
        <v>138.755</v>
      </c>
      <c r="M4" s="3">
        <f>AVERAGE(pva24_[[#This Row],[ESPESSURA A]],pva24_[[#This Row],[ESPESSURA B]])</f>
        <v>34.5</v>
      </c>
      <c r="N4" s="3">
        <f>pva24_[[#This Row],[COMPRIMENTO (cm)]]*(pva24_[[#This Row],[LARGURA MÉD (mm)]]*100)*(pva24_[[#This Row],[ESPESSURA MÉD (mm)]]*100)</f>
        <v>12585147877.499998</v>
      </c>
      <c r="O4" s="3">
        <f>(pva24_[[#This Row],[PESO (g)]]*1000)/(pva24_[[#This Row],[VOL (cm³)]])*1000000</f>
        <v>452.91482114330847</v>
      </c>
      <c r="P4" s="3">
        <f>(pva24_[[#This Row],[COMPRIMENTO (cm)]]/100)/(pva24_[[#This Row],[SW]]/1000000)</f>
        <v>4418.4873949579824</v>
      </c>
      <c r="Q4" s="3">
        <f>(((pva24_[[#This Row],[SW Velocidade (m/s)]]^2)*pva24_[[#This Row],[Densidade Aparente m/V (kg/m³)]])/1000000)</f>
        <v>8842.270029861611</v>
      </c>
    </row>
    <row r="5" spans="1:17" x14ac:dyDescent="0.35">
      <c r="A5" s="4" t="s">
        <v>49</v>
      </c>
      <c r="B5" s="4" t="s">
        <v>11</v>
      </c>
      <c r="C5" s="4" t="str">
        <f t="shared" si="0"/>
        <v>18K / 15F</v>
      </c>
      <c r="D5" s="4" t="s">
        <v>26</v>
      </c>
      <c r="E5" s="2">
        <v>264.10000000000002</v>
      </c>
      <c r="F5" s="3">
        <v>139.47999999999999</v>
      </c>
      <c r="G5" s="1">
        <v>544</v>
      </c>
      <c r="H5" s="3">
        <v>139.09</v>
      </c>
      <c r="I5" s="3">
        <v>34.6</v>
      </c>
      <c r="J5" s="3">
        <v>34.83</v>
      </c>
      <c r="K5" s="1">
        <v>5995</v>
      </c>
      <c r="L5" s="3">
        <f>AVERAGE(pva24_[[#This Row],[LARGURA A]],pva24_[[#This Row],[LARGURA B]])</f>
        <v>139.285</v>
      </c>
      <c r="M5" s="3">
        <f>AVERAGE(pva24_[[#This Row],[ESPESSURA A]],pva24_[[#This Row],[ESPESSURA B]])</f>
        <v>34.715000000000003</v>
      </c>
      <c r="N5" s="3">
        <f>pva24_[[#This Row],[COMPRIMENTO (cm)]]*(pva24_[[#This Row],[LARGURA MÉD (mm)]]*100)*(pva24_[[#This Row],[ESPESSURA MÉD (mm)]]*100)</f>
        <v>12769971244.775002</v>
      </c>
      <c r="O5" s="3">
        <f>(pva24_[[#This Row],[PESO (g)]]*1000)/(pva24_[[#This Row],[VOL (cm³)]])*1000000</f>
        <v>469.46072822622301</v>
      </c>
      <c r="P5" s="3">
        <f>(pva24_[[#This Row],[COMPRIMENTO (cm)]]/100)/(pva24_[[#This Row],[SW]]/1000000)</f>
        <v>4854.7794117647063</v>
      </c>
      <c r="Q5" s="3">
        <f>(((pva24_[[#This Row],[SW Velocidade (m/s)]]^2)*pva24_[[#This Row],[Densidade Aparente m/V (kg/m³)]])/1000000)</f>
        <v>11064.665040925225</v>
      </c>
    </row>
    <row r="6" spans="1:17" x14ac:dyDescent="0.35">
      <c r="A6" s="4" t="s">
        <v>50</v>
      </c>
      <c r="B6" s="4" t="s">
        <v>12</v>
      </c>
      <c r="C6" s="4" t="str">
        <f t="shared" si="0"/>
        <v>19K / 38F</v>
      </c>
      <c r="D6" s="4" t="s">
        <v>27</v>
      </c>
      <c r="E6" s="2">
        <v>264.5</v>
      </c>
      <c r="F6" s="3">
        <v>138.86000000000001</v>
      </c>
      <c r="G6" s="1">
        <v>562</v>
      </c>
      <c r="H6" s="3">
        <v>138.54</v>
      </c>
      <c r="I6" s="3">
        <v>34.82</v>
      </c>
      <c r="J6" s="3">
        <v>33.26</v>
      </c>
      <c r="K6" s="1">
        <v>4980</v>
      </c>
      <c r="L6" s="3">
        <f>AVERAGE(pva24_[[#This Row],[LARGURA A]],pva24_[[#This Row],[LARGURA B]])</f>
        <v>138.69999999999999</v>
      </c>
      <c r="M6" s="3">
        <f>AVERAGE(pva24_[[#This Row],[ESPESSURA A]],pva24_[[#This Row],[ESPESSURA B]])</f>
        <v>34.04</v>
      </c>
      <c r="N6" s="3">
        <f>pva24_[[#This Row],[COMPRIMENTO (cm)]]*(pva24_[[#This Row],[LARGURA MÉD (mm)]]*100)*(pva24_[[#This Row],[ESPESSURA MÉD (mm)]]*100)</f>
        <v>12487965459.999998</v>
      </c>
      <c r="O6" s="3">
        <f>(pva24_[[#This Row],[PESO (g)]]*1000)/(pva24_[[#This Row],[VOL (cm³)]])*1000000</f>
        <v>398.78393449688485</v>
      </c>
      <c r="P6" s="3">
        <f>(pva24_[[#This Row],[COMPRIMENTO (cm)]]/100)/(pva24_[[#This Row],[SW]]/1000000)</f>
        <v>4706.4056939501779</v>
      </c>
      <c r="Q6" s="3">
        <f>(((pva24_[[#This Row],[SW Velocidade (m/s)]]^2)*pva24_[[#This Row],[Densidade Aparente m/V (kg/m³)]])/1000000)</f>
        <v>8833.1656619678361</v>
      </c>
    </row>
    <row r="7" spans="1:17" x14ac:dyDescent="0.35">
      <c r="A7" s="4" t="s">
        <v>51</v>
      </c>
      <c r="B7" s="4" t="s">
        <v>13</v>
      </c>
      <c r="C7" s="4" t="str">
        <f t="shared" si="0"/>
        <v>20K / 204G</v>
      </c>
      <c r="D7" s="4" t="s">
        <v>28</v>
      </c>
      <c r="E7" s="2">
        <v>263.10000000000002</v>
      </c>
      <c r="F7" s="3">
        <v>140.55000000000001</v>
      </c>
      <c r="G7" s="1">
        <v>557</v>
      </c>
      <c r="H7" s="3">
        <v>139.86000000000001</v>
      </c>
      <c r="I7" s="3">
        <v>34.53</v>
      </c>
      <c r="J7" s="3">
        <v>35.090000000000003</v>
      </c>
      <c r="K7" s="1">
        <v>5510</v>
      </c>
      <c r="L7" s="3">
        <f>AVERAGE(pva24_[[#This Row],[LARGURA A]],pva24_[[#This Row],[LARGURA B]])</f>
        <v>140.20500000000001</v>
      </c>
      <c r="M7" s="3">
        <f>AVERAGE(pva24_[[#This Row],[ESPESSURA A]],pva24_[[#This Row],[ESPESSURA B]])</f>
        <v>34.81</v>
      </c>
      <c r="N7" s="3">
        <f>pva24_[[#This Row],[COMPRIMENTO (cm)]]*(pva24_[[#This Row],[LARGURA MÉD (mm)]]*100)*(pva24_[[#This Row],[ESPESSURA MÉD (mm)]]*100)</f>
        <v>12840690347.550003</v>
      </c>
      <c r="O7" s="3">
        <f>(pva24_[[#This Row],[PESO (g)]]*1000)/(pva24_[[#This Row],[VOL (cm³)]])*1000000</f>
        <v>429.10465487950228</v>
      </c>
      <c r="P7" s="3">
        <f>(pva24_[[#This Row],[COMPRIMENTO (cm)]]/100)/(pva24_[[#This Row],[SW]]/1000000)</f>
        <v>4723.5188509874333</v>
      </c>
      <c r="Q7" s="3">
        <f>(((pva24_[[#This Row],[SW Velocidade (m/s)]]^2)*pva24_[[#This Row],[Densidade Aparente m/V (kg/m³)]])/1000000)</f>
        <v>9574.0244349711083</v>
      </c>
    </row>
    <row r="8" spans="1:17" x14ac:dyDescent="0.35">
      <c r="A8" s="4" t="s">
        <v>52</v>
      </c>
      <c r="B8" s="4" t="s">
        <v>14</v>
      </c>
      <c r="C8" s="4" t="str">
        <f t="shared" si="0"/>
        <v>21K / 57F</v>
      </c>
      <c r="D8" s="4" t="s">
        <v>29</v>
      </c>
      <c r="E8" s="2">
        <v>261.60000000000002</v>
      </c>
      <c r="F8" s="3">
        <v>139.69</v>
      </c>
      <c r="G8" s="1">
        <v>661</v>
      </c>
      <c r="H8" s="3">
        <v>139.91999999999999</v>
      </c>
      <c r="I8" s="3">
        <v>34.83</v>
      </c>
      <c r="J8" s="3">
        <v>33.78</v>
      </c>
      <c r="K8" s="1">
        <v>5570</v>
      </c>
      <c r="L8" s="3">
        <f>AVERAGE(pva24_[[#This Row],[LARGURA A]],pva24_[[#This Row],[LARGURA B]])</f>
        <v>139.80500000000001</v>
      </c>
      <c r="M8" s="3">
        <f>AVERAGE(pva24_[[#This Row],[ESPESSURA A]],pva24_[[#This Row],[ESPESSURA B]])</f>
        <v>34.305</v>
      </c>
      <c r="N8" s="3">
        <f>pva24_[[#This Row],[COMPRIMENTO (cm)]]*(pva24_[[#This Row],[LARGURA MÉD (mm)]]*100)*(pva24_[[#This Row],[ESPESSURA MÉD (mm)]]*100)</f>
        <v>12546363533.400002</v>
      </c>
      <c r="O8" s="3">
        <f>(pva24_[[#This Row],[PESO (g)]]*1000)/(pva24_[[#This Row],[VOL (cm³)]])*1000000</f>
        <v>443.95334035810123</v>
      </c>
      <c r="P8" s="3">
        <f>(pva24_[[#This Row],[COMPRIMENTO (cm)]]/100)/(pva24_[[#This Row],[SW]]/1000000)</f>
        <v>3957.639939485628</v>
      </c>
      <c r="Q8" s="3">
        <f>(((pva24_[[#This Row],[SW Velocidade (m/s)]]^2)*pva24_[[#This Row],[Densidade Aparente m/V (kg/m³)]])/1000000)</f>
        <v>6953.6029414784143</v>
      </c>
    </row>
    <row r="9" spans="1:17" x14ac:dyDescent="0.35">
      <c r="A9" s="4" t="s">
        <v>53</v>
      </c>
      <c r="B9" s="4" t="s">
        <v>15</v>
      </c>
      <c r="C9" s="4" t="str">
        <f t="shared" si="0"/>
        <v>22K / 50F</v>
      </c>
      <c r="D9" s="4" t="s">
        <v>30</v>
      </c>
      <c r="E9" s="2">
        <v>265</v>
      </c>
      <c r="F9" s="3">
        <v>139.44</v>
      </c>
      <c r="G9" s="1">
        <v>545</v>
      </c>
      <c r="H9" s="3">
        <v>139.78</v>
      </c>
      <c r="I9" s="3">
        <v>34.71</v>
      </c>
      <c r="J9" s="3">
        <v>34.76</v>
      </c>
      <c r="K9" s="1">
        <v>5330</v>
      </c>
      <c r="L9" s="3">
        <f>AVERAGE(pva24_[[#This Row],[LARGURA A]],pva24_[[#This Row],[LARGURA B]])</f>
        <v>139.61000000000001</v>
      </c>
      <c r="M9" s="3">
        <f>AVERAGE(pva24_[[#This Row],[ESPESSURA A]],pva24_[[#This Row],[ESPESSURA B]])</f>
        <v>34.734999999999999</v>
      </c>
      <c r="N9" s="3">
        <f>pva24_[[#This Row],[COMPRIMENTO (cm)]]*(pva24_[[#This Row],[LARGURA MÉD (mm)]]*100)*(pva24_[[#This Row],[ESPESSURA MÉD (mm)]]*100)</f>
        <v>12850786377.500002</v>
      </c>
      <c r="O9" s="3">
        <f>(pva24_[[#This Row],[PESO (g)]]*1000)/(pva24_[[#This Row],[VOL (cm³)]])*1000000</f>
        <v>414.76061024032839</v>
      </c>
      <c r="P9" s="3">
        <f>(pva24_[[#This Row],[COMPRIMENTO (cm)]]/100)/(pva24_[[#This Row],[SW]]/1000000)</f>
        <v>4862.3853211009173</v>
      </c>
      <c r="Q9" s="3">
        <f>(((pva24_[[#This Row],[SW Velocidade (m/s)]]^2)*pva24_[[#This Row],[Densidade Aparente m/V (kg/m³)]])/1000000)</f>
        <v>9806.0984274478778</v>
      </c>
    </row>
    <row r="10" spans="1:17" x14ac:dyDescent="0.35">
      <c r="A10" s="4" t="s">
        <v>54</v>
      </c>
      <c r="B10" s="4" t="s">
        <v>16</v>
      </c>
      <c r="C10" s="4" t="str">
        <f t="shared" si="0"/>
        <v>23K / 30F</v>
      </c>
      <c r="D10" s="4" t="s">
        <v>31</v>
      </c>
      <c r="E10" s="2">
        <v>262.60000000000002</v>
      </c>
      <c r="F10" s="3">
        <v>139.61000000000001</v>
      </c>
      <c r="G10" s="1">
        <v>524</v>
      </c>
      <c r="H10" s="3">
        <v>140.35</v>
      </c>
      <c r="I10" s="3">
        <v>34.799999999999997</v>
      </c>
      <c r="J10" s="3">
        <v>34.82</v>
      </c>
      <c r="K10" s="1">
        <v>5265</v>
      </c>
      <c r="L10" s="3">
        <f>AVERAGE(pva24_[[#This Row],[LARGURA A]],pva24_[[#This Row],[LARGURA B]])</f>
        <v>139.98000000000002</v>
      </c>
      <c r="M10" s="3">
        <f>AVERAGE(pva24_[[#This Row],[ESPESSURA A]],pva24_[[#This Row],[ESPESSURA B]])</f>
        <v>34.81</v>
      </c>
      <c r="N10" s="3">
        <f>pva24_[[#This Row],[COMPRIMENTO (cm)]]*(pva24_[[#This Row],[LARGURA MÉD (mm)]]*100)*(pva24_[[#This Row],[ESPESSURA MÉD (mm)]]*100)</f>
        <v>12795720178.800003</v>
      </c>
      <c r="O10" s="3">
        <f>(pva24_[[#This Row],[PESO (g)]]*1000)/(pva24_[[#This Row],[VOL (cm³)]])*1000000</f>
        <v>411.46570309681135</v>
      </c>
      <c r="P10" s="3">
        <f>(pva24_[[#This Row],[COMPRIMENTO (cm)]]/100)/(pva24_[[#This Row],[SW]]/1000000)</f>
        <v>5011.4503816793895</v>
      </c>
      <c r="Q10" s="3">
        <f>(((pva24_[[#This Row],[SW Velocidade (m/s)]]^2)*pva24_[[#This Row],[Densidade Aparente m/V (kg/m³)]])/1000000)</f>
        <v>10333.81091868345</v>
      </c>
    </row>
    <row r="11" spans="1:17" x14ac:dyDescent="0.35">
      <c r="A11" s="4" t="s">
        <v>55</v>
      </c>
      <c r="B11" s="4" t="s">
        <v>17</v>
      </c>
      <c r="C11" s="4" t="str">
        <f t="shared" si="0"/>
        <v>24K / 76F</v>
      </c>
      <c r="D11" s="4" t="s">
        <v>32</v>
      </c>
      <c r="E11" s="2">
        <v>264.2</v>
      </c>
      <c r="F11" s="3">
        <v>139.34</v>
      </c>
      <c r="G11" s="1">
        <v>512</v>
      </c>
      <c r="H11" s="3">
        <v>139.24</v>
      </c>
      <c r="I11" s="3">
        <v>34.630000000000003</v>
      </c>
      <c r="J11" s="3">
        <v>33.35</v>
      </c>
      <c r="K11" s="1">
        <v>6150</v>
      </c>
      <c r="L11" s="3">
        <f>AVERAGE(pva24_[[#This Row],[LARGURA A]],pva24_[[#This Row],[LARGURA B]])</f>
        <v>139.29000000000002</v>
      </c>
      <c r="M11" s="3">
        <f>AVERAGE(pva24_[[#This Row],[ESPESSURA A]],pva24_[[#This Row],[ESPESSURA B]])</f>
        <v>33.99</v>
      </c>
      <c r="N11" s="3">
        <f>pva24_[[#This Row],[COMPRIMENTO (cm)]]*(pva24_[[#This Row],[LARGURA MÉD (mm)]]*100)*(pva24_[[#This Row],[ESPESSURA MÉD (mm)]]*100)</f>
        <v>12508462078.200001</v>
      </c>
      <c r="O11" s="3">
        <f>(pva24_[[#This Row],[PESO (g)]]*1000)/(pva24_[[#This Row],[VOL (cm³)]])*1000000</f>
        <v>491.66715792490135</v>
      </c>
      <c r="P11" s="3">
        <f>(pva24_[[#This Row],[COMPRIMENTO (cm)]]/100)/(pva24_[[#This Row],[SW]]/1000000)</f>
        <v>5160.15625</v>
      </c>
      <c r="Q11" s="3">
        <f>(((pva24_[[#This Row],[SW Velocidade (m/s)]]^2)*pva24_[[#This Row],[Densidade Aparente m/V (kg/m³)]])/1000000)</f>
        <v>13091.725905341</v>
      </c>
    </row>
    <row r="12" spans="1:17" x14ac:dyDescent="0.35">
      <c r="A12" s="4" t="s">
        <v>56</v>
      </c>
      <c r="B12" s="4" t="s">
        <v>18</v>
      </c>
      <c r="C12" s="4" t="str">
        <f t="shared" si="0"/>
        <v>25K / 206G</v>
      </c>
      <c r="D12" s="4" t="s">
        <v>33</v>
      </c>
      <c r="E12" s="2">
        <v>264.2</v>
      </c>
      <c r="F12" s="3">
        <v>138.57</v>
      </c>
      <c r="G12" s="1">
        <v>559</v>
      </c>
      <c r="H12" s="3">
        <v>139.02000000000001</v>
      </c>
      <c r="I12" s="3">
        <v>34.36</v>
      </c>
      <c r="J12" s="3">
        <v>34.72</v>
      </c>
      <c r="K12" s="1">
        <v>5250</v>
      </c>
      <c r="L12" s="3">
        <f>AVERAGE(pva24_[[#This Row],[LARGURA A]],pva24_[[#This Row],[LARGURA B]])</f>
        <v>138.79500000000002</v>
      </c>
      <c r="M12" s="3">
        <f>AVERAGE(pva24_[[#This Row],[ESPESSURA A]],pva24_[[#This Row],[ESPESSURA B]])</f>
        <v>34.54</v>
      </c>
      <c r="N12" s="3">
        <f>pva24_[[#This Row],[COMPRIMENTO (cm)]]*(pva24_[[#This Row],[LARGURA MÉD (mm)]]*100)*(pva24_[[#This Row],[ESPESSURA MÉD (mm)]]*100)</f>
        <v>12665693310.6</v>
      </c>
      <c r="O12" s="3">
        <f>(pva24_[[#This Row],[PESO (g)]]*1000)/(pva24_[[#This Row],[VOL (cm³)]])*1000000</f>
        <v>414.50553643251737</v>
      </c>
      <c r="P12" s="3">
        <f>(pva24_[[#This Row],[COMPRIMENTO (cm)]]/100)/(pva24_[[#This Row],[SW]]/1000000)</f>
        <v>4726.2969588550977</v>
      </c>
      <c r="Q12" s="3">
        <f>(((pva24_[[#This Row],[SW Velocidade (m/s)]]^2)*pva24_[[#This Row],[Densidade Aparente m/V (kg/m³)]])/1000000)</f>
        <v>9259.1761521722783</v>
      </c>
    </row>
    <row r="13" spans="1:17" x14ac:dyDescent="0.35">
      <c r="A13" s="4" t="s">
        <v>57</v>
      </c>
      <c r="B13" s="4" t="s">
        <v>19</v>
      </c>
      <c r="C13" s="4" t="str">
        <f t="shared" si="0"/>
        <v>26K / 81F</v>
      </c>
      <c r="D13" s="4" t="s">
        <v>34</v>
      </c>
      <c r="E13" s="2">
        <v>262.89999999999998</v>
      </c>
      <c r="F13" s="3">
        <v>138.69</v>
      </c>
      <c r="G13" s="1">
        <v>621</v>
      </c>
      <c r="H13" s="3">
        <v>138.65</v>
      </c>
      <c r="I13" s="3">
        <v>34.24</v>
      </c>
      <c r="J13" s="3">
        <v>24.54</v>
      </c>
      <c r="K13" s="1">
        <v>5230</v>
      </c>
      <c r="L13" s="3">
        <f>AVERAGE(pva24_[[#This Row],[LARGURA A]],pva24_[[#This Row],[LARGURA B]])</f>
        <v>138.67000000000002</v>
      </c>
      <c r="M13" s="3">
        <f>AVERAGE(pva24_[[#This Row],[ESPESSURA A]],pva24_[[#This Row],[ESPESSURA B]])</f>
        <v>29.39</v>
      </c>
      <c r="N13" s="3">
        <f>pva24_[[#This Row],[COMPRIMENTO (cm)]]*(pva24_[[#This Row],[LARGURA MÉD (mm)]]*100)*(pva24_[[#This Row],[ESPESSURA MÉD (mm)]]*100)</f>
        <v>10714519207.700001</v>
      </c>
      <c r="O13" s="3">
        <f>(pva24_[[#This Row],[PESO (g)]]*1000)/(pva24_[[#This Row],[VOL (cm³)]])*1000000</f>
        <v>488.12269581274865</v>
      </c>
      <c r="P13" s="3">
        <f>(pva24_[[#This Row],[COMPRIMENTO (cm)]]/100)/(pva24_[[#This Row],[SW]]/1000000)</f>
        <v>4233.4943639291459</v>
      </c>
      <c r="Q13" s="3">
        <f>(((pva24_[[#This Row],[SW Velocidade (m/s)]]^2)*pva24_[[#This Row],[Densidade Aparente m/V (kg/m³)]])/1000000)</f>
        <v>8748.3665829357378</v>
      </c>
    </row>
    <row r="14" spans="1:17" x14ac:dyDescent="0.35">
      <c r="A14" s="4" t="s">
        <v>58</v>
      </c>
      <c r="B14" s="4" t="s">
        <v>20</v>
      </c>
      <c r="C14" s="4" t="str">
        <f t="shared" si="0"/>
        <v>27K / 59F</v>
      </c>
      <c r="D14" s="4" t="s">
        <v>35</v>
      </c>
      <c r="E14" s="2">
        <v>266.8</v>
      </c>
      <c r="F14" s="3">
        <v>138.31</v>
      </c>
      <c r="G14" s="1">
        <v>579</v>
      </c>
      <c r="H14" s="3">
        <v>138.77000000000001</v>
      </c>
      <c r="I14" s="3">
        <v>34.11</v>
      </c>
      <c r="J14" s="3">
        <v>33.479999999999997</v>
      </c>
      <c r="K14" s="1">
        <v>6340</v>
      </c>
      <c r="L14" s="3">
        <f>AVERAGE(pva24_[[#This Row],[LARGURA A]],pva24_[[#This Row],[LARGURA B]])</f>
        <v>138.54000000000002</v>
      </c>
      <c r="M14" s="3">
        <f>AVERAGE(pva24_[[#This Row],[ESPESSURA A]],pva24_[[#This Row],[ESPESSURA B]])</f>
        <v>33.795000000000002</v>
      </c>
      <c r="N14" s="3">
        <f>pva24_[[#This Row],[COMPRIMENTO (cm)]]*(pva24_[[#This Row],[LARGURA MÉD (mm)]]*100)*(pva24_[[#This Row],[ESPESSURA MÉD (mm)]]*100)</f>
        <v>12491467412.400002</v>
      </c>
      <c r="O14" s="3">
        <f>(pva24_[[#This Row],[PESO (g)]]*1000)/(pva24_[[#This Row],[VOL (cm³)]])*1000000</f>
        <v>507.54645476690933</v>
      </c>
      <c r="P14" s="3">
        <f>(pva24_[[#This Row],[COMPRIMENTO (cm)]]/100)/(pva24_[[#This Row],[SW]]/1000000)</f>
        <v>4607.9447322970645</v>
      </c>
      <c r="Q14" s="3">
        <f>(((pva24_[[#This Row],[SW Velocidade (m/s)]]^2)*pva24_[[#This Row],[Densidade Aparente m/V (kg/m³)]])/1000000)</f>
        <v>10776.812369121706</v>
      </c>
    </row>
    <row r="15" spans="1:17" x14ac:dyDescent="0.35">
      <c r="A15" s="4" t="s">
        <v>59</v>
      </c>
      <c r="B15" s="4" t="s">
        <v>21</v>
      </c>
      <c r="C15" s="4" t="str">
        <f t="shared" si="0"/>
        <v>28K / 16F</v>
      </c>
      <c r="D15" s="4" t="s">
        <v>36</v>
      </c>
      <c r="E15" s="2">
        <v>261.7</v>
      </c>
      <c r="F15" s="3">
        <v>139.25</v>
      </c>
      <c r="G15" s="1">
        <v>617</v>
      </c>
      <c r="H15" s="3">
        <v>139.52000000000001</v>
      </c>
      <c r="I15" s="3">
        <v>34.85</v>
      </c>
      <c r="J15" s="3">
        <v>34.36</v>
      </c>
      <c r="K15" s="1">
        <v>5320</v>
      </c>
      <c r="L15" s="3">
        <f>AVERAGE(pva24_[[#This Row],[LARGURA A]],pva24_[[#This Row],[LARGURA B]])</f>
        <v>139.38499999999999</v>
      </c>
      <c r="M15" s="3">
        <f>AVERAGE(pva24_[[#This Row],[ESPESSURA A]],pva24_[[#This Row],[ESPESSURA B]])</f>
        <v>34.605000000000004</v>
      </c>
      <c r="N15" s="3">
        <f>pva24_[[#This Row],[COMPRIMENTO (cm)]]*(pva24_[[#This Row],[LARGURA MÉD (mm)]]*100)*(pva24_[[#This Row],[ESPESSURA MÉD (mm)]]*100)</f>
        <v>12622884709.725</v>
      </c>
      <c r="O15" s="3">
        <f>(pva24_[[#This Row],[PESO (g)]]*1000)/(pva24_[[#This Row],[VOL (cm³)]])*1000000</f>
        <v>421.4567527422106</v>
      </c>
      <c r="P15" s="3">
        <f>(pva24_[[#This Row],[COMPRIMENTO (cm)]]/100)/(pva24_[[#This Row],[SW]]/1000000)</f>
        <v>4241.4910858995136</v>
      </c>
      <c r="Q15" s="3">
        <f>(((pva24_[[#This Row],[SW Velocidade (m/s)]]^2)*pva24_[[#This Row],[Densidade Aparente m/V (kg/m³)]])/1000000)</f>
        <v>7582.1109264551833</v>
      </c>
    </row>
    <row r="16" spans="1:17" x14ac:dyDescent="0.35">
      <c r="A16" s="4" t="s">
        <v>60</v>
      </c>
      <c r="B16" s="4" t="s">
        <v>22</v>
      </c>
      <c r="C16" s="4" t="str">
        <f t="shared" si="0"/>
        <v>29K / 24F</v>
      </c>
      <c r="D16" s="4" t="s">
        <v>37</v>
      </c>
      <c r="E16" s="2">
        <v>263.10000000000002</v>
      </c>
      <c r="F16" s="3">
        <v>139.55000000000001</v>
      </c>
      <c r="G16" s="1">
        <v>569</v>
      </c>
      <c r="H16" s="3">
        <v>139.18</v>
      </c>
      <c r="I16" s="3">
        <v>34.81</v>
      </c>
      <c r="J16" s="3">
        <v>34.590000000000003</v>
      </c>
      <c r="K16" s="1">
        <v>5285</v>
      </c>
      <c r="L16" s="3">
        <f>AVERAGE(pva24_[[#This Row],[LARGURA A]],pva24_[[#This Row],[LARGURA B]])</f>
        <v>139.36500000000001</v>
      </c>
      <c r="M16" s="3">
        <f>AVERAGE(pva24_[[#This Row],[ESPESSURA A]],pva24_[[#This Row],[ESPESSURA B]])</f>
        <v>34.700000000000003</v>
      </c>
      <c r="N16" s="3">
        <f>pva24_[[#This Row],[COMPRIMENTO (cm)]]*(pva24_[[#This Row],[LARGURA MÉD (mm)]]*100)*(pva24_[[#This Row],[ESPESSURA MÉD (mm)]]*100)</f>
        <v>12723425230.500004</v>
      </c>
      <c r="O16" s="3">
        <f>(pva24_[[#This Row],[PESO (g)]]*1000)/(pva24_[[#This Row],[VOL (cm³)]])*1000000</f>
        <v>415.37556941279013</v>
      </c>
      <c r="P16" s="3">
        <f>(pva24_[[#This Row],[COMPRIMENTO (cm)]]/100)/(pva24_[[#This Row],[SW]]/1000000)</f>
        <v>4623.9015817223208</v>
      </c>
      <c r="Q16" s="3">
        <f>(((pva24_[[#This Row],[SW Velocidade (m/s)]]^2)*pva24_[[#This Row],[Densidade Aparente m/V (kg/m³)]])/1000000)</f>
        <v>8880.9231715432379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E6AA-59E5-4B45-BC70-9DA3598FE599}">
  <dimension ref="A1:Q17"/>
  <sheetViews>
    <sheetView zoomScaleNormal="85" workbookViewId="0">
      <pane xSplit="4" topLeftCell="E1" activePane="topRight" state="frozen"/>
      <selection pane="topRight" activeCell="E15" sqref="E15"/>
    </sheetView>
  </sheetViews>
  <sheetFormatPr defaultRowHeight="14.5" x14ac:dyDescent="0.35"/>
  <cols>
    <col min="1" max="1" width="9.6328125" style="4" bestFit="1" customWidth="1"/>
    <col min="2" max="2" width="8.453125" style="4" customWidth="1"/>
    <col min="3" max="3" width="15" style="4" customWidth="1"/>
    <col min="4" max="4" width="12.90625" style="4" customWidth="1"/>
    <col min="5" max="5" width="20.54296875" bestFit="1" customWidth="1"/>
    <col min="6" max="6" width="12.54296875" hidden="1" customWidth="1"/>
    <col min="7" max="7" width="7.36328125" customWidth="1"/>
    <col min="8" max="8" width="12.54296875" hidden="1" customWidth="1"/>
    <col min="9" max="9" width="14.54296875" hidden="1" customWidth="1"/>
    <col min="10" max="10" width="9.1796875" customWidth="1"/>
    <col min="11" max="11" width="10.36328125" style="6" bestFit="1" customWidth="1"/>
    <col min="12" max="12" width="20.36328125" style="6" hidden="1" customWidth="1"/>
    <col min="13" max="13" width="22.36328125" style="6" hidden="1" customWidth="1"/>
    <col min="14" max="14" width="17.7265625" customWidth="1"/>
    <col min="15" max="15" width="30.6328125" style="7" bestFit="1" customWidth="1"/>
    <col min="16" max="16" width="12.90625" style="6" customWidth="1"/>
    <col min="17" max="17" width="29.6328125" bestFit="1" customWidth="1"/>
  </cols>
  <sheetData>
    <row r="1" spans="1:17" x14ac:dyDescent="0.35">
      <c r="A1" s="4" t="s">
        <v>61</v>
      </c>
      <c r="B1" s="4" t="s">
        <v>5</v>
      </c>
      <c r="C1" s="4" t="s">
        <v>7</v>
      </c>
      <c r="D1" s="4" t="s">
        <v>6</v>
      </c>
      <c r="E1" t="s">
        <v>41</v>
      </c>
      <c r="F1" t="s">
        <v>0</v>
      </c>
      <c r="G1" t="s">
        <v>2</v>
      </c>
      <c r="H1" t="s">
        <v>1</v>
      </c>
      <c r="I1" t="s">
        <v>3</v>
      </c>
      <c r="J1" t="s">
        <v>4</v>
      </c>
      <c r="K1" s="6" t="s">
        <v>38</v>
      </c>
      <c r="L1" s="6" t="s">
        <v>39</v>
      </c>
      <c r="M1" s="6" t="s">
        <v>40</v>
      </c>
      <c r="N1" t="s">
        <v>42</v>
      </c>
      <c r="O1" s="7" t="s">
        <v>43</v>
      </c>
      <c r="P1" s="6" t="s">
        <v>45</v>
      </c>
      <c r="Q1" t="s">
        <v>44</v>
      </c>
    </row>
    <row r="2" spans="1:17" x14ac:dyDescent="0.35">
      <c r="A2" s="4" t="s">
        <v>46</v>
      </c>
      <c r="B2" s="4" t="s">
        <v>8</v>
      </c>
      <c r="C2" s="4" t="str">
        <f>B2 &amp;" / "&amp; D2</f>
        <v>15K / 55F</v>
      </c>
      <c r="D2" s="4" t="s">
        <v>23</v>
      </c>
      <c r="E2" s="3">
        <f>(pva24_[[#This Row],[COMPRIMENTO (cm)]] - ic25_[[#This Row],[COMPRIMENTO (cm)]])</f>
        <v>0.10000000000002274</v>
      </c>
      <c r="F2" s="3"/>
      <c r="G2" s="5">
        <f>(pva24_[[#This Row],[SW]] - ic25_[[#This Row],[SW]]) / (ic25_[[#This Row],[SW]])</f>
        <v>-5.3475935828877004E-2</v>
      </c>
      <c r="H2" s="3"/>
      <c r="I2" s="3"/>
      <c r="J2" s="3"/>
      <c r="K2" s="6">
        <f>(pva24_[[#This Row],[PESO (g)]] - ic25_[[#This Row],[Massa (g)]]) / (ic25_[[#This Row],[Massa (g)]])</f>
        <v>0.61973875181422355</v>
      </c>
      <c r="L2" s="6">
        <f>(pva24_[[#This Row],[LARGURA MÉD (mm)]] - ic25_[[#This Row],[LARGURA MÉD (mm)]]) / (ic25_[[#This Row],[LARGURA MÉD (mm)]])</f>
        <v>0.55602940351271002</v>
      </c>
      <c r="M2" s="6">
        <f>(pva24_[[#This Row],[ESPESSURA MÉD (mm)]] - ic25_[[#This Row],[ESPESSURA MÉD (mm)]]) / (ic25_[[#This Row],[ESPESSURA MÉD (mm)]])</f>
        <v>-6.7412507171543158E-3</v>
      </c>
      <c r="N2" s="3"/>
      <c r="O2" s="7">
        <f>(pva24_[[#This Row],[Densidade Aparente m/V (kg/m³)]] - ic25_[[#This Row],[Densidade Aparente m/V (kg/m³)]]) / (ic25_[[#This Row],[Densidade Aparente m/V (kg/m³)]])</f>
        <v>4.7611151237394886E-2</v>
      </c>
      <c r="P2" s="6">
        <f>(pva24_[[#This Row],[SW Velocidade (m/s)]] - ic25_[[#This Row],[SW Velocidade (m/s)]]) / (ic25_[[#This Row],[SW Velocidade (m/s)]])</f>
        <v>5.6897818741978898E-2</v>
      </c>
      <c r="Q2" s="5">
        <f>(pva24_[[#This Row],[E (módulo de elasticidade) MPa]] - ic25_[[#This Row],[E (módulo de elasticidade) MPa]]) / (ic25_[[#This Row],[E (módulo de elasticidade) MPa]])</f>
        <v>0.17021622632655531</v>
      </c>
    </row>
    <row r="3" spans="1:17" x14ac:dyDescent="0.35">
      <c r="A3" s="4" t="s">
        <v>47</v>
      </c>
      <c r="B3" s="4" t="s">
        <v>9</v>
      </c>
      <c r="C3" s="4" t="str">
        <f t="shared" ref="C3:C16" si="0">B3 &amp;" / "&amp; D3</f>
        <v>16K / 49F</v>
      </c>
      <c r="D3" s="4" t="s">
        <v>24</v>
      </c>
      <c r="E3" s="3">
        <f>(pva24_[[#This Row],[COMPRIMENTO (cm)]] - ic25_[[#This Row],[COMPRIMENTO (cm)]])</f>
        <v>0.60000000000002274</v>
      </c>
      <c r="F3" s="3"/>
      <c r="G3" s="5">
        <f>(pva24_[[#This Row],[SW]] - ic25_[[#This Row],[SW]]) / (ic25_[[#This Row],[SW]])</f>
        <v>5.944055944055944E-2</v>
      </c>
      <c r="H3" s="3"/>
      <c r="I3" s="3"/>
      <c r="J3" s="3"/>
      <c r="K3" s="6">
        <f>(pva24_[[#This Row],[PESO (g)]] - ic25_[[#This Row],[Massa (g)]]) / (ic25_[[#This Row],[Massa (g)]])</f>
        <v>0.49331352154531949</v>
      </c>
      <c r="L3" s="6">
        <f>(pva24_[[#This Row],[LARGURA MÉD (mm)]] - ic25_[[#This Row],[LARGURA MÉD (mm)]]) / (ic25_[[#This Row],[LARGURA MÉD (mm)]])</f>
        <v>0.55741761331683726</v>
      </c>
      <c r="M3" s="6">
        <f>(pva24_[[#This Row],[ESPESSURA MÉD (mm)]] - ic25_[[#This Row],[ESPESSURA MÉD (mm)]]) / (ic25_[[#This Row],[ESPESSURA MÉD (mm)]])</f>
        <v>-1.4285714285701293E-4</v>
      </c>
      <c r="N3" s="3"/>
      <c r="O3" s="7">
        <f>(pva24_[[#This Row],[Densidade Aparente m/V (kg/m³)]] - ic25_[[#This Row],[Densidade Aparente m/V (kg/m³)]]) / (ic25_[[#This Row],[Densidade Aparente m/V (kg/m³)]])</f>
        <v>-4.3204650403630085E-2</v>
      </c>
      <c r="P3" s="6">
        <f>(pva24_[[#This Row],[SW Velocidade (m/s)]] - ic25_[[#This Row],[SW Velocidade (m/s)]]) / (ic25_[[#This Row],[SW Velocidade (m/s)]])</f>
        <v>-5.395387563072402E-2</v>
      </c>
      <c r="Q3" s="5">
        <f>(pva24_[[#This Row],[E (módulo de elasticidade) MPa]] - ic25_[[#This Row],[E (módulo de elasticidade) MPa]]) / (ic25_[[#This Row],[E (módulo de elasticidade) MPa]])</f>
        <v>-0.14366503393187982</v>
      </c>
    </row>
    <row r="4" spans="1:17" x14ac:dyDescent="0.35">
      <c r="A4" s="4" t="s">
        <v>48</v>
      </c>
      <c r="B4" s="4" t="s">
        <v>10</v>
      </c>
      <c r="C4" s="4" t="str">
        <f t="shared" si="0"/>
        <v>17K / 65F</v>
      </c>
      <c r="D4" s="4" t="s">
        <v>25</v>
      </c>
      <c r="E4" s="3">
        <f>(pva24_[[#This Row],[COMPRIMENTO (cm)]] - ic25_[[#This Row],[COMPRIMENTO (cm)]])</f>
        <v>0</v>
      </c>
      <c r="F4" s="3"/>
      <c r="G4" s="5">
        <f>(pva24_[[#This Row],[SW]] - ic25_[[#This Row],[SW]]) / (ic25_[[#This Row],[SW]])</f>
        <v>7.5949367088607597E-2</v>
      </c>
      <c r="H4" s="3"/>
      <c r="I4" s="3"/>
      <c r="J4" s="3"/>
      <c r="K4" s="6">
        <f>(pva24_[[#This Row],[PESO (g)]] - ic25_[[#This Row],[Massa (g)]]) / (ic25_[[#This Row],[Massa (g)]])</f>
        <v>0.72465960665658091</v>
      </c>
      <c r="L4" s="6">
        <f>(pva24_[[#This Row],[LARGURA MÉD (mm)]] - ic25_[[#This Row],[LARGURA MÉD (mm)]]) / (ic25_[[#This Row],[LARGURA MÉD (mm)]])</f>
        <v>0.56414158493969091</v>
      </c>
      <c r="M4" s="6">
        <f>(pva24_[[#This Row],[ESPESSURA MÉD (mm)]] - ic25_[[#This Row],[ESPESSURA MÉD (mm)]]) / (ic25_[[#This Row],[ESPESSURA MÉD (mm)]])</f>
        <v>-1.2593016599885454E-2</v>
      </c>
      <c r="N4" s="3"/>
      <c r="O4" s="7">
        <f>(pva24_[[#This Row],[Densidade Aparente m/V (kg/m³)]] - ic25_[[#This Row],[Densidade Aparente m/V (kg/m³)]]) / (ic25_[[#This Row],[Densidade Aparente m/V (kg/m³)]])</f>
        <v>0.11668616334082665</v>
      </c>
      <c r="P4" s="6">
        <f>(pva24_[[#This Row],[SW Velocidade (m/s)]] - ic25_[[#This Row],[SW Velocidade (m/s)]]) / (ic25_[[#This Row],[SW Velocidade (m/s)]])</f>
        <v>-7.0588235294117618E-2</v>
      </c>
      <c r="Q4" s="5">
        <f>(pva24_[[#This Row],[E (módulo de elasticidade) MPa]] - ic25_[[#This Row],[E (módulo de elasticidade) MPa]]) / (ic25_[[#This Row],[E (módulo de elasticidade) MPa]])</f>
        <v>-3.5399536967460218E-2</v>
      </c>
    </row>
    <row r="5" spans="1:17" x14ac:dyDescent="0.35">
      <c r="A5" s="4" t="s">
        <v>49</v>
      </c>
      <c r="B5" s="4" t="s">
        <v>11</v>
      </c>
      <c r="C5" s="4" t="str">
        <f t="shared" si="0"/>
        <v>18K / 15F</v>
      </c>
      <c r="D5" s="4" t="s">
        <v>26</v>
      </c>
      <c r="E5" s="3">
        <f>(pva24_[[#This Row],[COMPRIMENTO (cm)]] - ic25_[[#This Row],[COMPRIMENTO (cm)]])</f>
        <v>-1</v>
      </c>
      <c r="F5" s="3"/>
      <c r="G5" s="5">
        <f>(pva24_[[#This Row],[SW]] - ic25_[[#This Row],[SW]]) / (ic25_[[#This Row],[SW]])</f>
        <v>-4.7285464098073555E-2</v>
      </c>
      <c r="H5" s="3"/>
      <c r="I5" s="3"/>
      <c r="J5" s="3"/>
      <c r="K5" s="6">
        <f>(pva24_[[#This Row],[PESO (g)]] - ic25_[[#This Row],[Massa (g)]]) / (ic25_[[#This Row],[Massa (g)]])</f>
        <v>0.81942336874051591</v>
      </c>
      <c r="L5" s="6">
        <f>(pva24_[[#This Row],[LARGURA MÉD (mm)]] - ic25_[[#This Row],[LARGURA MÉD (mm)]]) / (ic25_[[#This Row],[LARGURA MÉD (mm)]])</f>
        <v>0.56596773286862678</v>
      </c>
      <c r="M5" s="6">
        <f>(pva24_[[#This Row],[ESPESSURA MÉD (mm)]] - ic25_[[#This Row],[ESPESSURA MÉD (mm)]]) / (ic25_[[#This Row],[ESPESSURA MÉD (mm)]])</f>
        <v>1.8759018759020153E-3</v>
      </c>
      <c r="N5" s="3"/>
      <c r="O5" s="7">
        <f>(pva24_[[#This Row],[Densidade Aparente m/V (kg/m³)]] - ic25_[[#This Row],[Densidade Aparente m/V (kg/m³)]]) / (ic25_[[#This Row],[Densidade Aparente m/V (kg/m³)]])</f>
        <v>0.16406801228517554</v>
      </c>
      <c r="P5" s="6">
        <f>(pva24_[[#This Row],[SW Velocidade (m/s)]] - ic25_[[#This Row],[SW Velocidade (m/s)]]) / (ic25_[[#This Row],[SW Velocidade (m/s)]])</f>
        <v>4.5672970244302849E-2</v>
      </c>
      <c r="Q5" s="5">
        <f>(pva24_[[#This Row],[E (módulo de elasticidade) MPa]] - ic25_[[#This Row],[E (módulo de elasticidade) MPa]]) / (ic25_[[#This Row],[E (módulo de elasticidade) MPa]])</f>
        <v>0.2728291690605989</v>
      </c>
    </row>
    <row r="6" spans="1:17" x14ac:dyDescent="0.35">
      <c r="A6" s="4" t="s">
        <v>50</v>
      </c>
      <c r="B6" s="4" t="s">
        <v>12</v>
      </c>
      <c r="C6" s="4" t="str">
        <f t="shared" si="0"/>
        <v>19K / 38F</v>
      </c>
      <c r="D6" s="4" t="s">
        <v>27</v>
      </c>
      <c r="E6" s="3">
        <f>(pva24_[[#This Row],[COMPRIMENTO (cm)]] - ic25_[[#This Row],[COMPRIMENTO (cm)]])</f>
        <v>-0.10000000000002274</v>
      </c>
      <c r="F6" s="3"/>
      <c r="G6" s="5">
        <f>(pva24_[[#This Row],[SW]] - ic25_[[#This Row],[SW]]) / (ic25_[[#This Row],[SW]])</f>
        <v>-2.0905923344947737E-2</v>
      </c>
      <c r="H6" s="3"/>
      <c r="I6" s="3"/>
      <c r="J6" s="3"/>
      <c r="K6" s="6">
        <f>(pva24_[[#This Row],[PESO (g)]] - ic25_[[#This Row],[Massa (g)]]) / (ic25_[[#This Row],[Massa (g)]])</f>
        <v>0.45401459854014597</v>
      </c>
      <c r="L6" s="6">
        <f>(pva24_[[#This Row],[LARGURA MÉD (mm)]] - ic25_[[#This Row],[LARGURA MÉD (mm)]]) / (ic25_[[#This Row],[LARGURA MÉD (mm)]])</f>
        <v>0.55467129966933792</v>
      </c>
      <c r="M6" s="6">
        <f>(pva24_[[#This Row],[ESPESSURA MÉD (mm)]] - ic25_[[#This Row],[ESPESSURA MÉD (mm)]]) / (ic25_[[#This Row],[ESPESSURA MÉD (mm)]])</f>
        <v>-2.0873758394832551E-16</v>
      </c>
      <c r="N6" s="3"/>
      <c r="O6" s="7">
        <f>(pva24_[[#This Row],[Densidade Aparente m/V (kg/m³)]] - ic25_[[#This Row],[Densidade Aparente m/V (kg/m³)]]) / (ic25_[[#This Row],[Densidade Aparente m/V (kg/m³)]])</f>
        <v>-6.4391089733927445E-2</v>
      </c>
      <c r="P6" s="6">
        <f>(pva24_[[#This Row],[SW Velocidade (m/s)]] - ic25_[[#This Row],[SW Velocidade (m/s)]]) / (ic25_[[#This Row],[SW Velocidade (m/s)]])</f>
        <v>2.0966314560620355E-2</v>
      </c>
      <c r="Q6" s="5">
        <f>(pva24_[[#This Row],[E (módulo de elasticidade) MPa]] - ic25_[[#This Row],[E (módulo de elasticidade) MPa]]) / (ic25_[[#This Row],[E (módulo de elasticidade) MPa]])</f>
        <v>-2.474726739482451E-2</v>
      </c>
    </row>
    <row r="7" spans="1:17" x14ac:dyDescent="0.35">
      <c r="A7" s="4" t="s">
        <v>51</v>
      </c>
      <c r="B7" s="4" t="s">
        <v>13</v>
      </c>
      <c r="C7" s="4" t="str">
        <f t="shared" si="0"/>
        <v>20K / 204G</v>
      </c>
      <c r="D7" s="4" t="s">
        <v>28</v>
      </c>
      <c r="E7" s="3">
        <f>(pva24_[[#This Row],[COMPRIMENTO (cm)]] - ic25_[[#This Row],[COMPRIMENTO (cm)]])</f>
        <v>-1.0999999999999659</v>
      </c>
      <c r="F7" s="3"/>
      <c r="G7" s="5">
        <f>(pva24_[[#This Row],[SW]] - ic25_[[#This Row],[SW]]) / (ic25_[[#This Row],[SW]])</f>
        <v>5.4924242424242424E-2</v>
      </c>
      <c r="H7" s="3"/>
      <c r="I7" s="3"/>
      <c r="J7" s="3"/>
      <c r="K7" s="6">
        <f>(pva24_[[#This Row],[PESO (g)]] - ic25_[[#This Row],[Massa (g)]]) / (ic25_[[#This Row],[Massa (g)]])</f>
        <v>0.43302990897269183</v>
      </c>
      <c r="L7" s="6">
        <f>(pva24_[[#This Row],[LARGURA MÉD (mm)]] - ic25_[[#This Row],[LARGURA MÉD (mm)]]) / (ic25_[[#This Row],[LARGURA MÉD (mm)]])</f>
        <v>0.572245584524811</v>
      </c>
      <c r="M7" s="6">
        <f>(pva24_[[#This Row],[ESPESSURA MÉD (mm)]] - ic25_[[#This Row],[ESPESSURA MÉD (mm)]]) / (ic25_[[#This Row],[ESPESSURA MÉD (mm)]])</f>
        <v>-3.292770221903934E-3</v>
      </c>
      <c r="N7" s="3"/>
      <c r="O7" s="7">
        <f>(pva24_[[#This Row],[Densidade Aparente m/V (kg/m³)]] - ic25_[[#This Row],[Densidade Aparente m/V (kg/m³)]]) / (ic25_[[#This Row],[Densidade Aparente m/V (kg/m³)]])</f>
        <v>-8.1711326358210726E-2</v>
      </c>
      <c r="P7" s="6">
        <f>(pva24_[[#This Row],[SW Velocidade (m/s)]] - ic25_[[#This Row],[SW Velocidade (m/s)]]) / (ic25_[[#This Row],[SW Velocidade (m/s)]])</f>
        <v>-5.6011372701981393E-2</v>
      </c>
      <c r="Q7" s="5">
        <f>(pva24_[[#This Row],[E (módulo de elasticidade) MPa]] - ic25_[[#This Row],[E (módulo de elasticidade) MPa]]) / (ic25_[[#This Row],[E (módulo de elasticidade) MPa]])</f>
        <v>-0.18169962159019404</v>
      </c>
    </row>
    <row r="8" spans="1:17" x14ac:dyDescent="0.35">
      <c r="A8" s="4" t="s">
        <v>52</v>
      </c>
      <c r="B8" s="4" t="s">
        <v>14</v>
      </c>
      <c r="C8" s="4" t="str">
        <f t="shared" si="0"/>
        <v>21K / 57F</v>
      </c>
      <c r="D8" s="4" t="s">
        <v>29</v>
      </c>
      <c r="E8" s="3">
        <f>(pva24_[[#This Row],[COMPRIMENTO (cm)]] - ic25_[[#This Row],[COMPRIMENTO (cm)]])</f>
        <v>-2.5</v>
      </c>
      <c r="F8" s="3"/>
      <c r="G8" s="5">
        <f>(pva24_[[#This Row],[SW]] - ic25_[[#This Row],[SW]]) / (ic25_[[#This Row],[SW]])</f>
        <v>0.12798634812286688</v>
      </c>
      <c r="H8" s="3"/>
      <c r="I8" s="3"/>
      <c r="J8" s="3"/>
      <c r="K8" s="6">
        <f>(pva24_[[#This Row],[PESO (g)]] - ic25_[[#This Row],[Massa (g)]]) / (ic25_[[#This Row],[Massa (g)]])</f>
        <v>0.46578947368421053</v>
      </c>
      <c r="L8" s="6">
        <f>(pva24_[[#This Row],[LARGURA MÉD (mm)]] - ic25_[[#This Row],[LARGURA MÉD (mm)]]) / (ic25_[[#This Row],[LARGURA MÉD (mm)]])</f>
        <v>0.57181404238574418</v>
      </c>
      <c r="M8" s="6">
        <f>(pva24_[[#This Row],[ESPESSURA MÉD (mm)]] - ic25_[[#This Row],[ESPESSURA MÉD (mm)]]) / (ic25_[[#This Row],[ESPESSURA MÉD (mm)]])</f>
        <v>-1.4224137931034411E-2</v>
      </c>
      <c r="N8" s="3"/>
      <c r="O8" s="7">
        <f>(pva24_[[#This Row],[Densidade Aparente m/V (kg/m³)]] - ic25_[[#This Row],[Densidade Aparente m/V (kg/m³)]]) / (ic25_[[#This Row],[Densidade Aparente m/V (kg/m³)]])</f>
        <v>-4.4957021450752359E-2</v>
      </c>
      <c r="P8" s="6">
        <f>(pva24_[[#This Row],[SW Velocidade (m/s)]] - ic25_[[#This Row],[SW Velocidade (m/s)]]) / (ic25_[[#This Row],[SW Velocidade (m/s)]])</f>
        <v>-0.12185649203385904</v>
      </c>
      <c r="Q8" s="5">
        <f>(pva24_[[#This Row],[E (módulo de elasticidade) MPa]] - ic25_[[#This Row],[E (módulo de elasticidade) MPa]]) / (ic25_[[#This Row],[E (módulo de elasticidade) MPa]])</f>
        <v>-0.26353195803572138</v>
      </c>
    </row>
    <row r="9" spans="1:17" x14ac:dyDescent="0.35">
      <c r="A9" s="4" t="s">
        <v>53</v>
      </c>
      <c r="B9" s="4" t="s">
        <v>15</v>
      </c>
      <c r="C9" s="4" t="str">
        <f t="shared" si="0"/>
        <v>22K / 50F</v>
      </c>
      <c r="D9" s="4" t="s">
        <v>30</v>
      </c>
      <c r="E9" s="3">
        <f>(pva24_[[#This Row],[COMPRIMENTO (cm)]] - ic25_[[#This Row],[COMPRIMENTO (cm)]])</f>
        <v>3.1000000000000227</v>
      </c>
      <c r="F9" s="3"/>
      <c r="G9" s="5">
        <f>(pva24_[[#This Row],[SW]] - ic25_[[#This Row],[SW]]) / (ic25_[[#This Row],[SW]])</f>
        <v>-0.13492063492063491</v>
      </c>
      <c r="H9" s="3"/>
      <c r="I9" s="3"/>
      <c r="J9" s="3"/>
      <c r="K9" s="6">
        <f>(pva24_[[#This Row],[PESO (g)]] - ic25_[[#This Row],[Massa (g)]]) / (ic25_[[#This Row],[Massa (g)]])</f>
        <v>0.57692307692307687</v>
      </c>
      <c r="L9" s="6">
        <f>(pva24_[[#This Row],[LARGURA MÉD (mm)]] - ic25_[[#This Row],[LARGURA MÉD (mm)]]) / (ic25_[[#This Row],[LARGURA MÉD (mm)]])</f>
        <v>0.56970991679784144</v>
      </c>
      <c r="M9" s="6">
        <f>(pva24_[[#This Row],[ESPESSURA MÉD (mm)]] - ic25_[[#This Row],[ESPESSURA MÉD (mm)]]) / (ic25_[[#This Row],[ESPESSURA MÉD (mm)]])</f>
        <v>1.7303532804614932E-3</v>
      </c>
      <c r="N9" s="3"/>
      <c r="O9" s="7">
        <f>(pva24_[[#This Row],[Densidade Aparente m/V (kg/m³)]] - ic25_[[#This Row],[Densidade Aparente m/V (kg/m³)]]) / (ic25_[[#This Row],[Densidade Aparente m/V (kg/m³)]])</f>
        <v>-8.8716522338815051E-3</v>
      </c>
      <c r="P9" s="6">
        <f>(pva24_[[#This Row],[SW Velocidade (m/s)]] - ic25_[[#This Row],[SW Velocidade (m/s)]]) / (ic25_[[#This Row],[SW Velocidade (m/s)]])</f>
        <v>0.16964595352943035</v>
      </c>
      <c r="Q9" s="5">
        <f>(pva24_[[#This Row],[E (módulo de elasticidade) MPa]] - ic25_[[#This Row],[E (módulo de elasticidade) MPa]]) / (ic25_[[#This Row],[E (módulo de elasticidade) MPa]])</f>
        <v>0.35593460063931609</v>
      </c>
    </row>
    <row r="10" spans="1:17" x14ac:dyDescent="0.35">
      <c r="A10" s="4" t="s">
        <v>54</v>
      </c>
      <c r="B10" s="4" t="s">
        <v>16</v>
      </c>
      <c r="C10" s="4" t="str">
        <f t="shared" si="0"/>
        <v>23K / 30F</v>
      </c>
      <c r="D10" s="4" t="s">
        <v>31</v>
      </c>
      <c r="E10" s="3">
        <f>(pva24_[[#This Row],[COMPRIMENTO (cm)]] - ic25_[[#This Row],[COMPRIMENTO (cm)]])</f>
        <v>-1.8999999999999773</v>
      </c>
      <c r="F10" s="3"/>
      <c r="G10" s="5">
        <f>(pva24_[[#This Row],[SW]] - ic25_[[#This Row],[SW]]) / (ic25_[[#This Row],[SW]])</f>
        <v>-0.19135802469135801</v>
      </c>
      <c r="H10" s="3"/>
      <c r="I10" s="3"/>
      <c r="J10" s="3"/>
      <c r="K10" s="6">
        <f>(pva24_[[#This Row],[PESO (g)]] - ic25_[[#This Row],[Massa (g)]]) / (ic25_[[#This Row],[Massa (g)]])</f>
        <v>0.6350931677018633</v>
      </c>
      <c r="L10" s="6">
        <f>(pva24_[[#This Row],[LARGURA MÉD (mm)]] - ic25_[[#This Row],[LARGURA MÉD (mm)]]) / (ic25_[[#This Row],[LARGURA MÉD (mm)]])</f>
        <v>0.57166114635378684</v>
      </c>
      <c r="M10" s="6">
        <f>(pva24_[[#This Row],[ESPESSURA MÉD (mm)]] - ic25_[[#This Row],[ESPESSURA MÉD (mm)]]) / (ic25_[[#This Row],[ESPESSURA MÉD (mm)]])</f>
        <v>1.4384349827386983E-3</v>
      </c>
      <c r="N10" s="3"/>
      <c r="O10" s="7">
        <f>(pva24_[[#This Row],[Densidade Aparente m/V (kg/m³)]] - ic25_[[#This Row],[Densidade Aparente m/V (kg/m³)]]) / (ic25_[[#This Row],[Densidade Aparente m/V (kg/m³)]])</f>
        <v>4.6382062027640003E-2</v>
      </c>
      <c r="P10" s="6">
        <f>(pva24_[[#This Row],[SW Velocidade (m/s)]] - ic25_[[#This Row],[SW Velocidade (m/s)]]) / (ic25_[[#This Row],[SW Velocidade (m/s)]])</f>
        <v>0.22775797630557451</v>
      </c>
      <c r="Q10" s="5">
        <f>(pva24_[[#This Row],[E (módulo de elasticidade) MPa]] - ic25_[[#This Row],[E (módulo de elasticidade) MPa]]) / (ic25_[[#This Row],[E (módulo de elasticidade) MPa]])</f>
        <v>0.5773054885530341</v>
      </c>
    </row>
    <row r="11" spans="1:17" x14ac:dyDescent="0.35">
      <c r="A11" s="4" t="s">
        <v>55</v>
      </c>
      <c r="B11" s="4" t="s">
        <v>17</v>
      </c>
      <c r="C11" s="4" t="str">
        <f t="shared" si="0"/>
        <v>24K / 76F</v>
      </c>
      <c r="D11" s="4" t="s">
        <v>32</v>
      </c>
      <c r="E11" s="3">
        <f>(pva24_[[#This Row],[COMPRIMENTO (cm)]] - ic25_[[#This Row],[COMPRIMENTO (cm)]])</f>
        <v>-0.5</v>
      </c>
      <c r="F11" s="3"/>
      <c r="G11" s="5">
        <f>(pva24_[[#This Row],[SW]] - ic25_[[#This Row],[SW]]) / (ic25_[[#This Row],[SW]])</f>
        <v>-0.17152103559870549</v>
      </c>
      <c r="H11" s="3"/>
      <c r="I11" s="3"/>
      <c r="J11" s="3"/>
      <c r="K11" s="6">
        <f>(pva24_[[#This Row],[PESO (g)]] - ic25_[[#This Row],[Massa (g)]]) / (ic25_[[#This Row],[Massa (g)]])</f>
        <v>0.96485623003194887</v>
      </c>
      <c r="L11" s="6">
        <f>(pva24_[[#This Row],[LARGURA MÉD (mm)]] - ic25_[[#This Row],[LARGURA MÉD (mm)]]) / (ic25_[[#This Row],[LARGURA MÉD (mm)]])</f>
        <v>0.56347513750140321</v>
      </c>
      <c r="M11" s="6">
        <f>(pva24_[[#This Row],[ESPESSURA MÉD (mm)]] - ic25_[[#This Row],[ESPESSURA MÉD (mm)]]) / (ic25_[[#This Row],[ESPESSURA MÉD (mm)]])</f>
        <v>-4.0778890927049533E-2</v>
      </c>
      <c r="N11" s="3"/>
      <c r="O11" s="7">
        <f>(pva24_[[#This Row],[Densidade Aparente m/V (kg/m³)]] - ic25_[[#This Row],[Densidade Aparente m/V (kg/m³)]]) / (ic25_[[#This Row],[Densidade Aparente m/V (kg/m³)]])</f>
        <v>0.31262961776246778</v>
      </c>
      <c r="P11" s="6">
        <f>(pva24_[[#This Row],[SW Velocidade (m/s)]] - ic25_[[#This Row],[SW Velocidade (m/s)]]) / (ic25_[[#This Row],[SW Velocidade (m/s)]])</f>
        <v>0.20475125141669814</v>
      </c>
      <c r="Q11" s="5">
        <f>(pva24_[[#This Row],[E (módulo de elasticidade) MPa]] - ic25_[[#This Row],[E (módulo de elasticidade) MPa]]) / (ic25_[[#This Row],[E (módulo de elasticidade) MPa]])</f>
        <v>0.9051842013852881</v>
      </c>
    </row>
    <row r="12" spans="1:17" x14ac:dyDescent="0.35">
      <c r="A12" s="4" t="s">
        <v>56</v>
      </c>
      <c r="B12" s="4" t="s">
        <v>18</v>
      </c>
      <c r="C12" s="4" t="str">
        <f t="shared" si="0"/>
        <v>25K / 206G</v>
      </c>
      <c r="D12" s="4" t="s">
        <v>33</v>
      </c>
      <c r="E12" s="3">
        <f>(pva24_[[#This Row],[COMPRIMENTO (cm)]] - ic25_[[#This Row],[COMPRIMENTO (cm)]])</f>
        <v>-0.19999999999998863</v>
      </c>
      <c r="F12" s="3"/>
      <c r="G12" s="5">
        <f>(pva24_[[#This Row],[SW]] - ic25_[[#This Row],[SW]]) / (ic25_[[#This Row],[SW]])</f>
        <v>-0.1875</v>
      </c>
      <c r="H12" s="3"/>
      <c r="I12" s="3"/>
      <c r="J12" s="3"/>
      <c r="K12" s="6">
        <f>(pva24_[[#This Row],[PESO (g)]] - ic25_[[#This Row],[Massa (g)]]) / (ic25_[[#This Row],[Massa (g)]])</f>
        <v>0.640625</v>
      </c>
      <c r="L12" s="6">
        <f>(pva24_[[#This Row],[LARGURA MÉD (mm)]] - ic25_[[#This Row],[LARGURA MÉD (mm)]]) / (ic25_[[#This Row],[LARGURA MÉD (mm)]])</f>
        <v>0.56080967107112734</v>
      </c>
      <c r="M12" s="6">
        <f>(pva24_[[#This Row],[ESPESSURA MÉD (mm)]] - ic25_[[#This Row],[ESPESSURA MÉD (mm)]]) / (ic25_[[#This Row],[ESPESSURA MÉD (mm)]])</f>
        <v>-1.6374768617400053E-2</v>
      </c>
      <c r="N12" s="3"/>
      <c r="O12" s="7">
        <f>(pva24_[[#This Row],[Densidade Aparente m/V (kg/m³)]] - ic25_[[#This Row],[Densidade Aparente m/V (kg/m³)]]) / (ic25_[[#This Row],[Densidade Aparente m/V (kg/m³)]])</f>
        <v>6.944475480517727E-2</v>
      </c>
      <c r="P12" s="6">
        <f>(pva24_[[#This Row],[SW Velocidade (m/s)]] - ic25_[[#This Row],[SW Velocidade (m/s)]]) / (ic25_[[#This Row],[SW Velocidade (m/s)]])</f>
        <v>0.2298382404282556</v>
      </c>
      <c r="Q12" s="5">
        <f>(pva24_[[#This Row],[E (módulo de elasticidade) MPa]] - ic25_[[#This Row],[E (módulo de elasticidade) MPa]]) / (ic25_[[#This Row],[E (módulo de elasticidade) MPa]])</f>
        <v>0.61753743493118229</v>
      </c>
    </row>
    <row r="13" spans="1:17" x14ac:dyDescent="0.35">
      <c r="A13" s="4" t="s">
        <v>57</v>
      </c>
      <c r="B13" s="4" t="s">
        <v>19</v>
      </c>
      <c r="C13" s="4" t="str">
        <f t="shared" si="0"/>
        <v>26K / 81F</v>
      </c>
      <c r="D13" s="4" t="s">
        <v>34</v>
      </c>
      <c r="E13" s="3">
        <f>(pva24_[[#This Row],[COMPRIMENTO (cm)]] - ic25_[[#This Row],[COMPRIMENTO (cm)]])</f>
        <v>0.59999999999996589</v>
      </c>
      <c r="F13" s="3"/>
      <c r="G13" s="5">
        <f>(pva24_[[#This Row],[SW]] - ic25_[[#This Row],[SW]]) / (ic25_[[#This Row],[SW]])</f>
        <v>-5.909090909090909E-2</v>
      </c>
      <c r="H13" s="3"/>
      <c r="I13" s="3"/>
      <c r="J13" s="3"/>
      <c r="K13" s="6">
        <f>(pva24_[[#This Row],[PESO (g)]] - ic25_[[#This Row],[Massa (g)]]) / (ic25_[[#This Row],[Massa (g)]])</f>
        <v>0.55886736214605071</v>
      </c>
      <c r="L13" s="6">
        <f>(pva24_[[#This Row],[LARGURA MÉD (mm)]] - ic25_[[#This Row],[LARGURA MÉD (mm)]]) / (ic25_[[#This Row],[LARGURA MÉD (mm)]])</f>
        <v>0.55625385780820413</v>
      </c>
      <c r="M13" s="6">
        <f>(pva24_[[#This Row],[ESPESSURA MÉD (mm)]] - ic25_[[#This Row],[ESPESSURA MÉD (mm)]]) / (ic25_[[#This Row],[ESPESSURA MÉD (mm)]])</f>
        <v>-0.15326995102276</v>
      </c>
      <c r="N13" s="3"/>
      <c r="O13" s="7">
        <f>(pva24_[[#This Row],[Densidade Aparente m/V (kg/m³)]] - ic25_[[#This Row],[Densidade Aparente m/V (kg/m³)]]) / (ic25_[[#This Row],[Densidade Aparente m/V (kg/m³)]])</f>
        <v>0.18029741353997794</v>
      </c>
      <c r="P13" s="6">
        <f>(pva24_[[#This Row],[SW Velocidade (m/s)]] - ic25_[[#This Row],[SW Velocidade (m/s)]]) / (ic25_[[#This Row],[SW Velocidade (m/s)]])</f>
        <v>6.5233046204054956E-2</v>
      </c>
      <c r="Q13" s="5">
        <f>(pva24_[[#This Row],[E (módulo de elasticidade) MPa]] - ic25_[[#This Row],[E (módulo de elasticidade) MPa]]) / (ic25_[[#This Row],[E (módulo de elasticidade) MPa]])</f>
        <v>0.33930878393687064</v>
      </c>
    </row>
    <row r="14" spans="1:17" x14ac:dyDescent="0.35">
      <c r="A14" s="4" t="s">
        <v>58</v>
      </c>
      <c r="B14" s="4" t="s">
        <v>20</v>
      </c>
      <c r="C14" s="4" t="str">
        <f t="shared" si="0"/>
        <v>27K / 59F</v>
      </c>
      <c r="D14" s="4" t="s">
        <v>35</v>
      </c>
      <c r="E14" s="3">
        <f>(pva24_[[#This Row],[COMPRIMENTO (cm)]] - ic25_[[#This Row],[COMPRIMENTO (cm)]])</f>
        <v>-0.19999999999998863</v>
      </c>
      <c r="F14" s="3"/>
      <c r="G14" s="5">
        <f>(pva24_[[#This Row],[SW]] - ic25_[[#This Row],[SW]]) / (ic25_[[#This Row],[SW]])</f>
        <v>-2.030456852791878E-2</v>
      </c>
      <c r="H14" s="3"/>
      <c r="I14" s="3"/>
      <c r="J14" s="3"/>
      <c r="K14" s="6">
        <f>(pva24_[[#This Row],[PESO (g)]] - ic25_[[#This Row],[Massa (g)]]) / (ic25_[[#This Row],[Massa (g)]])</f>
        <v>0.62772785622593064</v>
      </c>
      <c r="L14" s="6">
        <f>(pva24_[[#This Row],[LARGURA MÉD (mm)]] - ic25_[[#This Row],[LARGURA MÉD (mm)]]) / (ic25_[[#This Row],[LARGURA MÉD (mm)]])</f>
        <v>0.55540586055911112</v>
      </c>
      <c r="M14" s="6">
        <f>(pva24_[[#This Row],[ESPESSURA MÉD (mm)]] - ic25_[[#This Row],[ESPESSURA MÉD (mm)]]) / (ic25_[[#This Row],[ESPESSURA MÉD (mm)]])</f>
        <v>-2.1002317497103167E-2</v>
      </c>
      <c r="N14" s="3"/>
      <c r="O14" s="7">
        <f>(pva24_[[#This Row],[Densidade Aparente m/V (kg/m³)]] - ic25_[[#This Row],[Densidade Aparente m/V (kg/m³)]]) / (ic25_[[#This Row],[Densidade Aparente m/V (kg/m³)]])</f>
        <v>6.9748872144602361E-2</v>
      </c>
      <c r="P14" s="6">
        <f>(pva24_[[#This Row],[SW Velocidade (m/s)]] - ic25_[[#This Row],[SW Velocidade (m/s)]]) / (ic25_[[#This Row],[SW Velocidade (m/s)]])</f>
        <v>1.9960800294968356E-2</v>
      </c>
      <c r="Q14" s="5">
        <f>(pva24_[[#This Row],[E (módulo de elasticidade) MPa]] - ic25_[[#This Row],[E (módulo de elasticidade) MPa]]) / (ic25_[[#This Row],[E (módulo de elasticidade) MPa]])</f>
        <v>0.11288118318893672</v>
      </c>
    </row>
    <row r="15" spans="1:17" x14ac:dyDescent="0.35">
      <c r="A15" s="4" t="s">
        <v>59</v>
      </c>
      <c r="B15" s="4" t="s">
        <v>21</v>
      </c>
      <c r="C15" s="4" t="str">
        <f t="shared" si="0"/>
        <v>28K / 16F</v>
      </c>
      <c r="D15" s="4" t="s">
        <v>36</v>
      </c>
      <c r="E15" s="3">
        <f>(pva24_[[#This Row],[COMPRIMENTO (cm)]] - ic25_[[#This Row],[COMPRIMENTO (cm)]])</f>
        <v>-1.3000000000000114</v>
      </c>
      <c r="F15" s="3"/>
      <c r="G15" s="5">
        <f>(pva24_[[#This Row],[SW]] - ic25_[[#This Row],[SW]]) / (ic25_[[#This Row],[SW]])</f>
        <v>-6.7975830815709973E-2</v>
      </c>
      <c r="H15" s="3"/>
      <c r="I15" s="3"/>
      <c r="J15" s="3"/>
      <c r="K15" s="6">
        <f>(pva24_[[#This Row],[PESO (g)]] - ic25_[[#This Row],[Massa (g)]]) / (ic25_[[#This Row],[Massa (g)]])</f>
        <v>0.50495049504950495</v>
      </c>
      <c r="L15" s="6">
        <f>(pva24_[[#This Row],[LARGURA MÉD (mm)]] - ic25_[[#This Row],[LARGURA MÉD (mm)]]) / (ic25_[[#This Row],[LARGURA MÉD (mm)]])</f>
        <v>0.56515636404469127</v>
      </c>
      <c r="M15" s="6">
        <f>(pva24_[[#This Row],[ESPESSURA MÉD (mm)]] - ic25_[[#This Row],[ESPESSURA MÉD (mm)]]) / (ic25_[[#This Row],[ESPESSURA MÉD (mm)]])</f>
        <v>-9.1624910522546364E-3</v>
      </c>
      <c r="N15" s="3"/>
      <c r="O15" s="7">
        <f>(pva24_[[#This Row],[Densidade Aparente m/V (kg/m³)]] - ic25_[[#This Row],[Densidade Aparente m/V (kg/m³)]]) / (ic25_[[#This Row],[Densidade Aparente m/V (kg/m³)]])</f>
        <v>-2.475424236482476E-2</v>
      </c>
      <c r="P15" s="6">
        <f>(pva24_[[#This Row],[SW Velocidade (m/s)]] - ic25_[[#This Row],[SW Velocidade (m/s)]]) / (ic25_[[#This Row],[SW Velocidade (m/s)]])</f>
        <v>6.7630075614250329E-2</v>
      </c>
      <c r="Q15" s="5">
        <f>(pva24_[[#This Row],[E (módulo de elasticidade) MPa]] - ic25_[[#This Row],[E (módulo de elasticidade) MPa]]) / (ic25_[[#This Row],[E (módulo de elasticidade) MPa]])</f>
        <v>0.11161825180020078</v>
      </c>
    </row>
    <row r="16" spans="1:17" x14ac:dyDescent="0.35">
      <c r="A16" s="4" t="s">
        <v>60</v>
      </c>
      <c r="B16" s="4" t="s">
        <v>22</v>
      </c>
      <c r="C16" s="4" t="str">
        <f t="shared" si="0"/>
        <v>29K / 24F</v>
      </c>
      <c r="D16" s="4" t="s">
        <v>37</v>
      </c>
      <c r="E16" s="3">
        <f>(pva24_[[#This Row],[COMPRIMENTO (cm)]] - ic25_[[#This Row],[COMPRIMENTO (cm)]])</f>
        <v>0.10000000000002274</v>
      </c>
      <c r="F16" s="3"/>
      <c r="G16" s="5">
        <f>(pva24_[[#This Row],[SW]] - ic25_[[#This Row],[SW]]) / (ic25_[[#This Row],[SW]])</f>
        <v>-0.15703703703703703</v>
      </c>
      <c r="H16" s="3"/>
      <c r="I16" s="3"/>
      <c r="J16" s="3"/>
      <c r="K16" s="6">
        <f>(pva24_[[#This Row],[PESO (g)]] - ic25_[[#This Row],[Massa (g)]]) / (ic25_[[#This Row],[Massa (g)]])</f>
        <v>0.59667673716012082</v>
      </c>
      <c r="L16" s="6">
        <f>(pva24_[[#This Row],[LARGURA MÉD (mm)]] - ic25_[[#This Row],[LARGURA MÉD (mm)]]) / (ic25_[[#This Row],[LARGURA MÉD (mm)]])</f>
        <v>0.56440478194982313</v>
      </c>
      <c r="M16" s="6">
        <f>(pva24_[[#This Row],[ESPESSURA MÉD (mm)]] - ic25_[[#This Row],[ESPESSURA MÉD (mm)]]) / (ic25_[[#This Row],[ESPESSURA MÉD (mm)]])</f>
        <v>-4.1612856937866555E-3</v>
      </c>
      <c r="N16" s="3"/>
      <c r="O16" s="7">
        <f>(pva24_[[#This Row],[Densidade Aparente m/V (kg/m³)]] - ic25_[[#This Row],[Densidade Aparente m/V (kg/m³)]]) / (ic25_[[#This Row],[Densidade Aparente m/V (kg/m³)]])</f>
        <v>2.4504233939557918E-2</v>
      </c>
      <c r="P16" s="6">
        <f>(pva24_[[#This Row],[SW Velocidade (m/s)]] - ic25_[[#This Row],[SW Velocidade (m/s)]]) / (ic25_[[#This Row],[SW Velocidade (m/s)]])</f>
        <v>0.1867428013926109</v>
      </c>
      <c r="Q16" s="5">
        <f>(pva24_[[#This Row],[E (módulo de elasticidade) MPa]] - ic25_[[#This Row],[E (módulo de elasticidade) MPa]]) / (ic25_[[#This Row],[E (módulo de elasticidade) MPa]])</f>
        <v>0.44286922223994907</v>
      </c>
    </row>
    <row r="17" spans="5:17" x14ac:dyDescent="0.35">
      <c r="E17" s="15">
        <f>AVERAGE(compare_[COMPRIMENTO (cm)])</f>
        <v>-0.28666666666665985</v>
      </c>
      <c r="F17" s="15" t="e">
        <f>AVERAGE(compare_[LARGURA A])</f>
        <v>#DIV/0!</v>
      </c>
      <c r="G17" s="15">
        <f>AVERAGE(compare_[SW])</f>
        <v>-5.2871656458526345E-2</v>
      </c>
      <c r="H17" s="15" t="e">
        <f>AVERAGE(compare_[LARGURA B])</f>
        <v>#DIV/0!</v>
      </c>
      <c r="I17" s="15" t="e">
        <f>AVERAGE(compare_[ESPESSURA A])</f>
        <v>#DIV/0!</v>
      </c>
      <c r="J17" s="15" t="e">
        <f>AVERAGE(compare_[ESPESSURA B])</f>
        <v>#DIV/0!</v>
      </c>
      <c r="K17" s="15">
        <f>AVERAGE(compare_[PESO (g)])</f>
        <v>0.60771261034614565</v>
      </c>
      <c r="L17" s="15">
        <f>AVERAGE(compare_[LARGURA MÉD (mm)])</f>
        <v>0.56327759982024983</v>
      </c>
      <c r="M17" s="15">
        <f>AVERAGE(compare_[ESPESSURA MÉD (mm)])</f>
        <v>-1.8446603152272478E-2</v>
      </c>
      <c r="N17" s="15" t="e">
        <f>AVERAGE(compare_[VOL (cm³)])</f>
        <v>#DIV/0!</v>
      </c>
      <c r="O17" s="15">
        <f>AVERAGE(compare_[Densidade Aparente m/V (kg/m³)])</f>
        <v>5.0898819902506241E-2</v>
      </c>
      <c r="P17" s="15">
        <f>AVERAGE(compare_[SW Velocidade (m/s)])</f>
        <v>6.6179151538137554E-2</v>
      </c>
      <c r="Q17" s="15">
        <f>AVERAGE(compare_[E (módulo de elasticidade) MPa])</f>
        <v>0.21710940960945677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8C0B-6443-4DED-AF82-E06AF4AFA49C}">
  <dimension ref="A1:AJ16"/>
  <sheetViews>
    <sheetView zoomScaleNormal="100" workbookViewId="0">
      <pane xSplit="4" topLeftCell="AG1" activePane="topRight" state="frozen"/>
      <selection pane="topRight" activeCell="AC1" sqref="AC1"/>
    </sheetView>
  </sheetViews>
  <sheetFormatPr defaultRowHeight="14.5" x14ac:dyDescent="0.35"/>
  <cols>
    <col min="1" max="1" width="10.36328125" style="4" bestFit="1" customWidth="1"/>
    <col min="2" max="2" width="10.453125" style="4" hidden="1" customWidth="1"/>
    <col min="3" max="3" width="10.54296875" style="4" hidden="1" customWidth="1"/>
    <col min="4" max="4" width="10" style="4" hidden="1" customWidth="1"/>
    <col min="5" max="5" width="21.6328125" bestFit="1" customWidth="1"/>
    <col min="6" max="6" width="13.36328125" bestFit="1" customWidth="1"/>
    <col min="7" max="7" width="6.36328125" bestFit="1" customWidth="1"/>
    <col min="8" max="8" width="13.36328125" bestFit="1" customWidth="1"/>
    <col min="9" max="10" width="15.54296875" bestFit="1" customWidth="1"/>
    <col min="11" max="11" width="11.6328125" bestFit="1" customWidth="1"/>
    <col min="12" max="12" width="21.453125" bestFit="1" customWidth="1"/>
    <col min="13" max="13" width="23.6328125" bestFit="1" customWidth="1"/>
    <col min="14" max="14" width="14.08984375" hidden="1" customWidth="1"/>
    <col min="15" max="15" width="15.08984375" bestFit="1" customWidth="1"/>
    <col min="16" max="16" width="32" bestFit="1" customWidth="1"/>
    <col min="17" max="17" width="21.6328125" bestFit="1" customWidth="1"/>
    <col min="18" max="18" width="30.6328125" bestFit="1" customWidth="1"/>
    <col min="19" max="19" width="25.36328125" hidden="1" customWidth="1"/>
    <col min="20" max="20" width="23.6328125" style="7" hidden="1" customWidth="1"/>
    <col min="21" max="21" width="9" bestFit="1" customWidth="1"/>
    <col min="22" max="22" width="25.90625" bestFit="1" customWidth="1"/>
    <col min="23" max="23" width="18.6328125" bestFit="1" customWidth="1"/>
    <col min="24" max="24" width="18.90625" style="14" bestFit="1" customWidth="1"/>
    <col min="25" max="25" width="28.453125" bestFit="1" customWidth="1"/>
    <col min="26" max="27" width="24.6328125" bestFit="1" customWidth="1"/>
    <col min="28" max="29" width="24.90625" bestFit="1" customWidth="1"/>
    <col min="30" max="32" width="37.36328125" bestFit="1" customWidth="1"/>
    <col min="33" max="34" width="21.08984375" bestFit="1" customWidth="1"/>
    <col min="35" max="35" width="36.36328125" bestFit="1" customWidth="1"/>
    <col min="36" max="36" width="13.90625" bestFit="1" customWidth="1"/>
  </cols>
  <sheetData>
    <row r="1" spans="1:36" x14ac:dyDescent="0.35">
      <c r="A1" s="4" t="s">
        <v>61</v>
      </c>
      <c r="B1" s="4" t="s">
        <v>88</v>
      </c>
      <c r="C1" s="4" t="s">
        <v>89</v>
      </c>
      <c r="D1" s="4" t="s">
        <v>6</v>
      </c>
      <c r="E1" t="s">
        <v>41</v>
      </c>
      <c r="F1" t="s">
        <v>0</v>
      </c>
      <c r="G1" t="s">
        <v>2</v>
      </c>
      <c r="H1" t="s">
        <v>1</v>
      </c>
      <c r="I1" t="s">
        <v>3</v>
      </c>
      <c r="J1" t="s">
        <v>4</v>
      </c>
      <c r="K1" t="s">
        <v>65</v>
      </c>
      <c r="L1" t="s">
        <v>39</v>
      </c>
      <c r="M1" t="s">
        <v>40</v>
      </c>
      <c r="N1" t="s">
        <v>42</v>
      </c>
      <c r="O1" t="s">
        <v>63</v>
      </c>
      <c r="P1" t="s">
        <v>43</v>
      </c>
      <c r="Q1" t="s">
        <v>45</v>
      </c>
      <c r="R1" t="s">
        <v>44</v>
      </c>
      <c r="S1" t="s">
        <v>66</v>
      </c>
      <c r="T1" t="s">
        <v>67</v>
      </c>
      <c r="U1" s="7" t="s">
        <v>62</v>
      </c>
      <c r="V1" t="s">
        <v>64</v>
      </c>
      <c r="W1" t="s">
        <v>84</v>
      </c>
      <c r="X1" s="13" t="s">
        <v>83</v>
      </c>
      <c r="Y1" t="s">
        <v>85</v>
      </c>
      <c r="Z1" t="s">
        <v>90</v>
      </c>
      <c r="AA1" t="s">
        <v>91</v>
      </c>
      <c r="AB1" t="s">
        <v>92</v>
      </c>
      <c r="AC1" t="s">
        <v>93</v>
      </c>
      <c r="AD1" t="s">
        <v>94</v>
      </c>
      <c r="AE1" t="s">
        <v>95</v>
      </c>
      <c r="AF1" t="s">
        <v>97</v>
      </c>
      <c r="AG1" t="s">
        <v>98</v>
      </c>
      <c r="AH1" t="s">
        <v>99</v>
      </c>
      <c r="AI1" t="s">
        <v>96</v>
      </c>
      <c r="AJ1" t="s">
        <v>100</v>
      </c>
    </row>
    <row r="2" spans="1:36" x14ac:dyDescent="0.35">
      <c r="A2" s="4" t="s">
        <v>51</v>
      </c>
      <c r="B2" s="4" t="s">
        <v>13</v>
      </c>
      <c r="C2" s="4" t="str">
        <f t="shared" ref="C2:C16" si="0">B2 &amp;" / "&amp; D2</f>
        <v>20K / 204G</v>
      </c>
      <c r="D2" s="4" t="s">
        <v>28</v>
      </c>
      <c r="E2" s="2">
        <v>263.7</v>
      </c>
      <c r="F2" s="3">
        <v>89.05</v>
      </c>
      <c r="G2" s="1">
        <v>561</v>
      </c>
      <c r="H2" s="3">
        <v>89.16</v>
      </c>
      <c r="I2" s="3">
        <v>34.9</v>
      </c>
      <c r="J2" s="3">
        <v>34.82</v>
      </c>
      <c r="K2" s="1">
        <v>3445</v>
      </c>
      <c r="L2" s="3">
        <f>AVERAGE(ic25_[[#This Row],[LARGURA A]],ic25_[[#This Row],[LARGURA B]])</f>
        <v>89.10499999999999</v>
      </c>
      <c r="M2" s="3">
        <f>AVERAGE(ic25_[[#This Row],[ESPESSURA A]],ic25_[[#This Row],[ESPESSURA B]])</f>
        <v>34.86</v>
      </c>
      <c r="N2" s="3">
        <f>ic25_[[#This Row],[COMPRIMENTO (cm)]]*(ic25_[[#This Row],[LARGURA MÉD (mm)]]*100)*(ic25_[[#This Row],[ESPESSURA MÉD (mm)]]*100)</f>
        <v>8191050191.0999985</v>
      </c>
      <c r="O2" s="3">
        <v>419.1</v>
      </c>
      <c r="P2" s="3">
        <f>(ic25_[[#This Row],[Massa (g)]]*1000)/(ic25_[[#This Row],[VOL (cm³)]])*1000000</f>
        <v>420.58099018159743</v>
      </c>
      <c r="Q2" s="3">
        <f>(ic25_[[#This Row],[COMPRIMENTO (cm)]]/100)/(ic25_[[#This Row],[SW]]/1000000)</f>
        <v>4700.5347593582892</v>
      </c>
      <c r="R2" s="3">
        <f>(((ic25_[[#This Row],[SW Velocidade (m/s)]]^2)*ic25_[[#This Row],[Densidade Aparente m/V (kg/m³)]])/1000000)</f>
        <v>9292.7483438159434</v>
      </c>
      <c r="S2" s="3">
        <v>169.98</v>
      </c>
      <c r="T2" s="3">
        <v>148.21</v>
      </c>
      <c r="U2" s="7">
        <f>((ic25_[[#This Row],[Massa amostra úmida (g)]]-ic25_[[#This Row],[Massa amostra seco (g)]])/ic25_[[#This Row],[Massa amostra úmida (g)]])</f>
        <v>0.12807389104600531</v>
      </c>
      <c r="V2" s="2">
        <f>(((ic25_[[#This Row],[Massa amostra seco (g)]]/1000)/(ic25_[[#This Row],[VOL sat (cm³)]]/1000000)))</f>
        <v>353.6387497017418</v>
      </c>
      <c r="W2" s="1">
        <v>5</v>
      </c>
      <c r="X2" s="14" t="s">
        <v>81</v>
      </c>
      <c r="Y2" t="s">
        <v>87</v>
      </c>
      <c r="Z2" s="3">
        <f>AVERAGEIF(ic25_[Grupo Nodosidade],"A",ic25_[Densidade Aparente m/V (kg/m³)])</f>
        <v>422.30441597430109</v>
      </c>
      <c r="AA2" s="3">
        <f>AVERAGEIF(ic25_[Grupo Nodosidade],"B",ic25_[Densidade Aparente m/V (kg/m³)])</f>
        <v>418.25730831237661</v>
      </c>
      <c r="AB2" s="3">
        <f>AVERAGEIF(ic25_[Grupo Nodosidade],"A",ic25_[E (módulo de elasticidade) MPa])</f>
        <v>9434.7507440762583</v>
      </c>
      <c r="AC2" s="3">
        <f>AVERAGEIF(ic25_[Grupo Nodosidade],"B",ic25_[E (módulo de elasticidade) MPa])</f>
        <v>7223.6423348616026</v>
      </c>
      <c r="AD2" s="3">
        <f>AVERAGEIF(ic25_[Grupo Nodosidade],"A",ic25_[Densidade Básica (kg/m³)])</f>
        <v>338.07181736066406</v>
      </c>
      <c r="AE2" s="3">
        <f>AVERAGEIF(ic25_[Grupo Nodosidade],"B",ic25_[Densidade Básica (kg/m³)])</f>
        <v>333.97443449798146</v>
      </c>
      <c r="AF2" s="3">
        <f>AVERAGEIF(ic25_[Grupo Nodosidade],"A",ic25_[SW Velocidade (m/s)])</f>
        <v>4718.7130170394257</v>
      </c>
      <c r="AG2" s="3">
        <f ca="1">AVERAGEIF(ic25_[Grupo Nodosidade],"A",ic25_[[#Headers],[em estático]])</f>
        <v>3920.864</v>
      </c>
      <c r="AH2" s="3">
        <f ca="1">AVERAGEIF(ic25_[Grupo Nodosidade],"B",ic25_[[#Headers],[em estático]])</f>
        <v>3830.741111111111</v>
      </c>
      <c r="AI2" s="3">
        <f>AVERAGEIF(ic25_[Grupo Nodosidade],"B",ic25_[SW Velocidade (m/s)])</f>
        <v>4137.0076201877919</v>
      </c>
      <c r="AJ2" s="9">
        <v>3829.95</v>
      </c>
    </row>
    <row r="3" spans="1:36" x14ac:dyDescent="0.35">
      <c r="A3" s="4" t="s">
        <v>60</v>
      </c>
      <c r="B3" s="4" t="s">
        <v>22</v>
      </c>
      <c r="C3" s="4" t="str">
        <f t="shared" si="0"/>
        <v>29K / 24F</v>
      </c>
      <c r="D3" s="4" t="s">
        <v>37</v>
      </c>
      <c r="E3" s="2">
        <v>263.2</v>
      </c>
      <c r="F3" s="3">
        <v>89.02</v>
      </c>
      <c r="G3" s="1">
        <v>572</v>
      </c>
      <c r="H3" s="3">
        <v>88.8</v>
      </c>
      <c r="I3" s="3">
        <v>34.93</v>
      </c>
      <c r="J3" s="3">
        <v>35.07</v>
      </c>
      <c r="K3" s="1">
        <v>3365</v>
      </c>
      <c r="L3" s="3">
        <f>AVERAGE(ic25_[[#This Row],[LARGURA A]],ic25_[[#This Row],[LARGURA B]])</f>
        <v>88.91</v>
      </c>
      <c r="M3" s="3">
        <f>AVERAGE(ic25_[[#This Row],[ESPESSURA A]],ic25_[[#This Row],[ESPESSURA B]])</f>
        <v>35</v>
      </c>
      <c r="N3" s="3">
        <f>ic25_[[#This Row],[COMPRIMENTO (cm)]]*(ic25_[[#This Row],[LARGURA MÉD (mm)]]*100)*(ic25_[[#This Row],[ESPESSURA MÉD (mm)]]*100)</f>
        <v>8190389199.999999</v>
      </c>
      <c r="O3" s="3">
        <v>420</v>
      </c>
      <c r="P3" s="3">
        <f>(ic25_[[#This Row],[Massa (g)]]*1000)/(ic25_[[#This Row],[VOL (cm³)]])*1000000</f>
        <v>410.84738683724584</v>
      </c>
      <c r="Q3" s="3">
        <f>(ic25_[[#This Row],[COMPRIMENTO (cm)]]/100)/(ic25_[[#This Row],[SW]]/1000000)</f>
        <v>4601.3986013986005</v>
      </c>
      <c r="R3" s="3">
        <f>(((ic25_[[#This Row],[SW Velocidade (m/s)]]^2)*ic25_[[#This Row],[Densidade Aparente m/V (kg/m³)]])/1000000)</f>
        <v>8698.8179370434354</v>
      </c>
      <c r="S3" s="3">
        <v>156.38999999999999</v>
      </c>
      <c r="T3" s="3">
        <v>136.84</v>
      </c>
      <c r="U3" s="7">
        <f>((ic25_[[#This Row],[Massa amostra úmida (g)]]-ic25_[[#This Row],[Massa amostra seco (g)]])/ic25_[[#This Row],[Massa amostra úmida (g)]])</f>
        <v>0.12500799283841668</v>
      </c>
      <c r="V3" s="2">
        <f>(((ic25_[[#This Row],[Massa amostra seco (g)]]/1000)/(ic25_[[#This Row],[VOL sat (cm³)]]/1000000)))</f>
        <v>325.80952380952385</v>
      </c>
      <c r="W3" s="1">
        <v>4</v>
      </c>
      <c r="X3" s="14" t="s">
        <v>81</v>
      </c>
      <c r="Y3" t="s">
        <v>86</v>
      </c>
      <c r="Z3" s="3"/>
      <c r="AA3" s="3"/>
      <c r="AB3" s="3"/>
      <c r="AC3" s="3"/>
      <c r="AD3" s="3"/>
      <c r="AE3" s="3"/>
      <c r="AF3" s="3"/>
      <c r="AG3" s="3"/>
      <c r="AH3" s="3"/>
      <c r="AI3" s="3"/>
      <c r="AJ3" s="9">
        <v>3676.59</v>
      </c>
    </row>
    <row r="4" spans="1:36" x14ac:dyDescent="0.35">
      <c r="A4" s="4" t="s">
        <v>54</v>
      </c>
      <c r="B4" s="4" t="s">
        <v>16</v>
      </c>
      <c r="C4" s="4" t="str">
        <f t="shared" si="0"/>
        <v>23K / 30F</v>
      </c>
      <c r="D4" s="4" t="s">
        <v>31</v>
      </c>
      <c r="E4" s="2">
        <v>262.89999999999998</v>
      </c>
      <c r="F4" s="3">
        <v>88.54</v>
      </c>
      <c r="G4" s="1">
        <v>553</v>
      </c>
      <c r="H4" s="3">
        <v>88.88</v>
      </c>
      <c r="I4" s="3">
        <v>34.83</v>
      </c>
      <c r="J4" s="3">
        <v>35.049999999999997</v>
      </c>
      <c r="K4" s="1">
        <v>3305</v>
      </c>
      <c r="L4" s="3">
        <f>AVERAGE(ic25_[[#This Row],[LARGURA A]],ic25_[[#This Row],[LARGURA B]])</f>
        <v>88.710000000000008</v>
      </c>
      <c r="M4" s="3">
        <f>AVERAGE(ic25_[[#This Row],[ESPESSURA A]],ic25_[[#This Row],[ESPESSURA B]])</f>
        <v>34.94</v>
      </c>
      <c r="N4" s="3">
        <f>ic25_[[#This Row],[COMPRIMENTO (cm)]]*(ic25_[[#This Row],[LARGURA MÉD (mm)]]*100)*(ic25_[[#This Row],[ESPESSURA MÉD (mm)]]*100)</f>
        <v>8148657534.5999994</v>
      </c>
      <c r="O4" s="3">
        <v>432.2</v>
      </c>
      <c r="P4" s="3">
        <f>(ic25_[[#This Row],[Massa (g)]]*1000)/(ic25_[[#This Row],[VOL (cm³)]])*1000000</f>
        <v>405.58828076485548</v>
      </c>
      <c r="Q4" s="3">
        <f>(ic25_[[#This Row],[COMPRIMENTO (cm)]]/100)/(ic25_[[#This Row],[SW]]/1000000)</f>
        <v>4754.0687160940315</v>
      </c>
      <c r="R4" s="3">
        <f>(((ic25_[[#This Row],[SW Velocidade (m/s)]]^2)*ic25_[[#This Row],[Densidade Aparente m/V (kg/m³)]])/1000000)</f>
        <v>9166.7694229204681</v>
      </c>
      <c r="S4" s="3">
        <v>157.13</v>
      </c>
      <c r="T4" s="3">
        <v>138.53</v>
      </c>
      <c r="U4" s="7">
        <f>((ic25_[[#This Row],[Massa amostra úmida (g)]]-ic25_[[#This Row],[Massa amostra seco (g)]])/ic25_[[#This Row],[Massa amostra úmida (g)]])</f>
        <v>0.11837332145357345</v>
      </c>
      <c r="V4" s="2">
        <f>(((ic25_[[#This Row],[Massa amostra seco (g)]]/1000)/(ic25_[[#This Row],[VOL sat (cm³)]]/1000000)))</f>
        <v>320.52290606200836</v>
      </c>
      <c r="W4" s="1">
        <v>3</v>
      </c>
      <c r="X4" s="14" t="s">
        <v>81</v>
      </c>
      <c r="Y4" t="s">
        <v>87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9">
        <v>3220.63</v>
      </c>
    </row>
    <row r="5" spans="1:36" x14ac:dyDescent="0.35">
      <c r="A5" s="4" t="s">
        <v>53</v>
      </c>
      <c r="B5" s="4" t="s">
        <v>15</v>
      </c>
      <c r="C5" s="4" t="str">
        <f t="shared" si="0"/>
        <v>22K / 50F</v>
      </c>
      <c r="D5" s="4" t="s">
        <v>30</v>
      </c>
      <c r="E5" s="2">
        <v>265.10000000000002</v>
      </c>
      <c r="F5" s="3">
        <v>88.98</v>
      </c>
      <c r="G5" s="1">
        <v>571</v>
      </c>
      <c r="H5" s="3">
        <v>88.91</v>
      </c>
      <c r="I5" s="3">
        <v>34.619999999999997</v>
      </c>
      <c r="J5" s="3">
        <v>34.68</v>
      </c>
      <c r="K5" s="1">
        <v>3295</v>
      </c>
      <c r="L5" s="3">
        <f>AVERAGE(ic25_[[#This Row],[LARGURA A]],ic25_[[#This Row],[LARGURA B]])</f>
        <v>88.944999999999993</v>
      </c>
      <c r="M5" s="3">
        <f>AVERAGE(ic25_[[#This Row],[ESPESSURA A]],ic25_[[#This Row],[ESPESSURA B]])</f>
        <v>34.65</v>
      </c>
      <c r="N5" s="3">
        <f>ic25_[[#This Row],[COMPRIMENTO (cm)]]*(ic25_[[#This Row],[LARGURA MÉD (mm)]]*100)*(ic25_[[#This Row],[ESPESSURA MÉD (mm)]]*100)</f>
        <v>8170234206.750001</v>
      </c>
      <c r="O5" s="3">
        <v>407.7</v>
      </c>
      <c r="P5" s="3">
        <f>(ic25_[[#This Row],[Massa (g)]]*1000)/(ic25_[[#This Row],[VOL (cm³)]])*1000000</f>
        <v>403.2932124856066</v>
      </c>
      <c r="Q5" s="3">
        <f>(ic25_[[#This Row],[COMPRIMENTO (cm)]]/100)/(ic25_[[#This Row],[SW]]/1000000)</f>
        <v>4642.7320490367783</v>
      </c>
      <c r="R5" s="3">
        <f>(((ic25_[[#This Row],[SW Velocidade (m/s)]]^2)*ic25_[[#This Row],[Densidade Aparente m/V (kg/m³)]])/1000000)</f>
        <v>8692.9694179552862</v>
      </c>
      <c r="S5" s="3">
        <v>149.61000000000001</v>
      </c>
      <c r="T5" s="3">
        <v>131.61000000000001</v>
      </c>
      <c r="U5" s="7">
        <f>((ic25_[[#This Row],[Massa amostra úmida (g)]]-ic25_[[#This Row],[Massa amostra seco (g)]])/ic25_[[#This Row],[Massa amostra úmida (g)]])</f>
        <v>0.12031281331461799</v>
      </c>
      <c r="V5" s="2">
        <f>(((ic25_[[#This Row],[Massa amostra seco (g)]]/1000)/(ic25_[[#This Row],[VOL sat (cm³)]]/1000000)))</f>
        <v>322.81089036055926</v>
      </c>
      <c r="W5" s="1">
        <v>4</v>
      </c>
      <c r="X5" s="14" t="s">
        <v>81</v>
      </c>
      <c r="Y5" t="s">
        <v>86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9">
        <v>5254.93</v>
      </c>
    </row>
    <row r="6" spans="1:36" x14ac:dyDescent="0.35">
      <c r="A6" s="4" t="s">
        <v>46</v>
      </c>
      <c r="B6" s="4" t="s">
        <v>8</v>
      </c>
      <c r="C6" s="4" t="str">
        <f t="shared" si="0"/>
        <v>15K / 55F</v>
      </c>
      <c r="D6" s="4" t="s">
        <v>23</v>
      </c>
      <c r="E6" s="2">
        <v>264.60000000000002</v>
      </c>
      <c r="F6" s="3">
        <v>89.28</v>
      </c>
      <c r="G6" s="1">
        <v>574</v>
      </c>
      <c r="H6" s="3">
        <v>89.15</v>
      </c>
      <c r="I6" s="3">
        <v>34.380000000000003</v>
      </c>
      <c r="J6" s="3">
        <v>33.700000000000003</v>
      </c>
      <c r="K6" s="1">
        <v>3425</v>
      </c>
      <c r="L6" s="3">
        <f>AVERAGE(ic25_[[#This Row],[LARGURA A]],ic25_[[#This Row],[LARGURA B]])</f>
        <v>89.215000000000003</v>
      </c>
      <c r="M6" s="3">
        <f>AVERAGE(ic25_[[#This Row],[ESPESSURA A]],ic25_[[#This Row],[ESPESSURA B]])</f>
        <v>34.040000000000006</v>
      </c>
      <c r="N6" s="3">
        <f>ic25_[[#This Row],[COMPRIMENTO (cm)]]*(ic25_[[#This Row],[LARGURA MÉD (mm)]]*100)*(ic25_[[#This Row],[ESPESSURA MÉD (mm)]]*100)</f>
        <v>8035580775.6000023</v>
      </c>
      <c r="O6" s="3">
        <v>415.9</v>
      </c>
      <c r="P6" s="3">
        <f>(ic25_[[#This Row],[Massa (g)]]*1000)/(ic25_[[#This Row],[VOL (cm³)]])*1000000</f>
        <v>426.22930384820398</v>
      </c>
      <c r="Q6" s="3">
        <f>(ic25_[[#This Row],[COMPRIMENTO (cm)]]/100)/(ic25_[[#This Row],[SW]]/1000000)</f>
        <v>4609.7560975609767</v>
      </c>
      <c r="R6" s="3">
        <f>(((ic25_[[#This Row],[SW Velocidade (m/s)]]^2)*ic25_[[#This Row],[Densidade Aparente m/V (kg/m³)]])/1000000)</f>
        <v>9057.3093175262948</v>
      </c>
      <c r="S6" s="3">
        <v>160.51</v>
      </c>
      <c r="T6" s="3">
        <v>140.66999999999999</v>
      </c>
      <c r="U6" s="7">
        <f>((ic25_[[#This Row],[Massa amostra úmida (g)]]-ic25_[[#This Row],[Massa amostra seco (g)]])/ic25_[[#This Row],[Massa amostra úmida (g)]])</f>
        <v>0.12360600585633297</v>
      </c>
      <c r="V6" s="2">
        <f>(((ic25_[[#This Row],[Massa amostra seco (g)]]/1000)/(ic25_[[#This Row],[VOL sat (cm³)]]/1000000)))</f>
        <v>338.23034383265207</v>
      </c>
      <c r="W6" s="1">
        <v>5</v>
      </c>
      <c r="X6" s="14" t="s">
        <v>81</v>
      </c>
      <c r="Y6" t="s">
        <v>87</v>
      </c>
      <c r="Z6" s="3"/>
      <c r="AA6" s="3"/>
      <c r="AB6" s="3"/>
      <c r="AC6" s="3"/>
      <c r="AD6" s="3"/>
      <c r="AE6" s="3"/>
      <c r="AF6" s="3"/>
      <c r="AG6" s="3"/>
      <c r="AH6" s="3"/>
      <c r="AI6" s="3"/>
      <c r="AJ6" s="9">
        <v>3622.22</v>
      </c>
    </row>
    <row r="7" spans="1:36" x14ac:dyDescent="0.35">
      <c r="A7" s="4" t="s">
        <v>55</v>
      </c>
      <c r="B7" s="4" t="s">
        <v>17</v>
      </c>
      <c r="C7" s="4" t="str">
        <f t="shared" si="0"/>
        <v>24K / 76F</v>
      </c>
      <c r="D7" s="4" t="s">
        <v>32</v>
      </c>
      <c r="E7" s="2">
        <v>264.2</v>
      </c>
      <c r="F7" s="3">
        <v>89.11</v>
      </c>
      <c r="G7" s="1">
        <v>528</v>
      </c>
      <c r="H7" s="3">
        <v>89.24</v>
      </c>
      <c r="I7" s="3">
        <v>34.72</v>
      </c>
      <c r="J7" s="3">
        <v>35.130000000000003</v>
      </c>
      <c r="K7" s="1">
        <v>3845</v>
      </c>
      <c r="L7" s="3">
        <f>AVERAGE(ic25_[[#This Row],[LARGURA A]],ic25_[[#This Row],[LARGURA B]])</f>
        <v>89.174999999999997</v>
      </c>
      <c r="M7" s="3">
        <f>AVERAGE(ic25_[[#This Row],[ESPESSURA A]],ic25_[[#This Row],[ESPESSURA B]])</f>
        <v>34.924999999999997</v>
      </c>
      <c r="N7" s="3">
        <f>ic25_[[#This Row],[COMPRIMENTO (cm)]]*(ic25_[[#This Row],[LARGURA MÉD (mm)]]*100)*(ic25_[[#This Row],[ESPESSURA MÉD (mm)]]*100)</f>
        <v>8228342223.749999</v>
      </c>
      <c r="O7" s="3">
        <v>447.8</v>
      </c>
      <c r="P7" s="3">
        <f>(ic25_[[#This Row],[Massa (g)]]*1000)/(ic25_[[#This Row],[VOL (cm³)]])*1000000</f>
        <v>467.2873217282974</v>
      </c>
      <c r="Q7" s="3">
        <f>(ic25_[[#This Row],[COMPRIMENTO (cm)]]/100)/(ic25_[[#This Row],[SW]]/1000000)</f>
        <v>5003.7878787878781</v>
      </c>
      <c r="R7" s="3">
        <f>(((ic25_[[#This Row],[SW Velocidade (m/s)]]^2)*ic25_[[#This Row],[Densidade Aparente m/V (kg/m³)]])/1000000)</f>
        <v>11699.890025196131</v>
      </c>
      <c r="S7" s="3">
        <v>187.08</v>
      </c>
      <c r="T7" s="3">
        <v>164.53</v>
      </c>
      <c r="U7" s="7">
        <f>((ic25_[[#This Row],[Massa amostra úmida (g)]]-ic25_[[#This Row],[Massa amostra seco (g)]])/ic25_[[#This Row],[Massa amostra úmida (g)]])</f>
        <v>0.12053666880478944</v>
      </c>
      <c r="V7" s="2">
        <f>(((ic25_[[#This Row],[Massa amostra seco (g)]]/1000)/(ic25_[[#This Row],[VOL sat (cm³)]]/1000000)))</f>
        <v>367.41849039749894</v>
      </c>
      <c r="W7" s="1">
        <v>4</v>
      </c>
      <c r="X7" s="14" t="s">
        <v>81</v>
      </c>
      <c r="Y7" t="s">
        <v>86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9">
        <v>4231.29</v>
      </c>
    </row>
    <row r="8" spans="1:36" x14ac:dyDescent="0.35">
      <c r="A8" s="4" t="s">
        <v>49</v>
      </c>
      <c r="B8" s="4" t="s">
        <v>11</v>
      </c>
      <c r="C8" s="4" t="str">
        <f t="shared" si="0"/>
        <v>18K / 15F</v>
      </c>
      <c r="D8" s="4" t="s">
        <v>26</v>
      </c>
      <c r="E8" s="2">
        <v>264.10000000000002</v>
      </c>
      <c r="F8" s="3">
        <v>88.78</v>
      </c>
      <c r="G8" s="1">
        <v>586</v>
      </c>
      <c r="H8" s="3">
        <v>89.11</v>
      </c>
      <c r="I8" s="3">
        <v>34.909999999999997</v>
      </c>
      <c r="J8" s="3">
        <v>34.69</v>
      </c>
      <c r="K8" s="1">
        <v>3800</v>
      </c>
      <c r="L8" s="3">
        <f>AVERAGE(ic25_[[#This Row],[LARGURA A]],ic25_[[#This Row],[LARGURA B]])</f>
        <v>88.944999999999993</v>
      </c>
      <c r="M8" s="3">
        <f>AVERAGE(ic25_[[#This Row],[ESPESSURA A]],ic25_[[#This Row],[ESPESSURA B]])</f>
        <v>34.799999999999997</v>
      </c>
      <c r="N8" s="3">
        <f>ic25_[[#This Row],[COMPRIMENTO (cm)]]*(ic25_[[#This Row],[LARGURA MÉD (mm)]]*100)*(ic25_[[#This Row],[ESPESSURA MÉD (mm)]]*100)</f>
        <v>8174650326</v>
      </c>
      <c r="O8" s="3">
        <v>422.1</v>
      </c>
      <c r="P8" s="3">
        <f>(ic25_[[#This Row],[Massa (g)]]*1000)/(ic25_[[#This Row],[VOL (cm³)]])*1000000</f>
        <v>464.85168765125724</v>
      </c>
      <c r="Q8" s="3">
        <f>(ic25_[[#This Row],[COMPRIMENTO (cm)]]/100)/(ic25_[[#This Row],[SW]]/1000000)</f>
        <v>4506.8259385665524</v>
      </c>
      <c r="R8" s="3">
        <f>(((ic25_[[#This Row],[SW Velocidade (m/s)]]^2)*ic25_[[#This Row],[Densidade Aparente m/V (kg/m³)]])/1000000)</f>
        <v>9441.8257755381183</v>
      </c>
      <c r="S8" s="3">
        <v>192.83</v>
      </c>
      <c r="T8" s="3">
        <v>169.96</v>
      </c>
      <c r="U8" s="7">
        <f>((ic25_[[#This Row],[Massa amostra úmida (g)]]-ic25_[[#This Row],[Massa amostra seco (g)]])/ic25_[[#This Row],[Massa amostra úmida (g)]])</f>
        <v>0.11860187730124983</v>
      </c>
      <c r="V8" s="2">
        <f>(((ic25_[[#This Row],[Massa amostra seco (g)]]/1000)/(ic25_[[#This Row],[VOL sat (cm³)]]/1000000)))</f>
        <v>402.65339966832505</v>
      </c>
      <c r="W8" s="1">
        <v>7</v>
      </c>
      <c r="X8" s="14" t="s">
        <v>82</v>
      </c>
      <c r="Y8" t="s">
        <v>86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9">
        <v>3097.46</v>
      </c>
    </row>
    <row r="9" spans="1:36" x14ac:dyDescent="0.35">
      <c r="A9" s="4" t="s">
        <v>59</v>
      </c>
      <c r="B9" s="4" t="s">
        <v>21</v>
      </c>
      <c r="C9" s="4" t="str">
        <f t="shared" si="0"/>
        <v>28K / 16F</v>
      </c>
      <c r="D9" s="4" t="s">
        <v>36</v>
      </c>
      <c r="E9" s="2">
        <v>261.89999999999998</v>
      </c>
      <c r="F9" s="3">
        <v>89.05</v>
      </c>
      <c r="G9" s="1">
        <v>630</v>
      </c>
      <c r="H9" s="3">
        <v>88.83</v>
      </c>
      <c r="I9" s="3">
        <v>34.65</v>
      </c>
      <c r="J9" s="3">
        <v>34.700000000000003</v>
      </c>
      <c r="K9" s="1">
        <v>3380</v>
      </c>
      <c r="L9" s="3">
        <f>AVERAGE(ic25_[[#This Row],[LARGURA A]],ic25_[[#This Row],[LARGURA B]])</f>
        <v>88.94</v>
      </c>
      <c r="M9" s="3">
        <f>AVERAGE(ic25_[[#This Row],[ESPESSURA A]],ic25_[[#This Row],[ESPESSURA B]])</f>
        <v>34.674999999999997</v>
      </c>
      <c r="N9" s="3">
        <f>ic25_[[#This Row],[COMPRIMENTO (cm)]]*(ic25_[[#This Row],[LARGURA MÉD (mm)]]*100)*(ic25_[[#This Row],[ESPESSURA MÉD (mm)]]*100)</f>
        <v>8076981595.4999981</v>
      </c>
      <c r="O9" s="3">
        <v>424.1</v>
      </c>
      <c r="P9" s="3">
        <f>(ic25_[[#This Row],[Massa (g)]]*1000)/(ic25_[[#This Row],[VOL (cm³)]])*1000000</f>
        <v>418.47315857239664</v>
      </c>
      <c r="Q9" s="3">
        <f>(ic25_[[#This Row],[COMPRIMENTO (cm)]]/100)/(ic25_[[#This Row],[SW]]/1000000)</f>
        <v>4157.1428571428569</v>
      </c>
      <c r="R9" s="3">
        <f>(((ic25_[[#This Row],[SW Velocidade (m/s)]]^2)*ic25_[[#This Row],[Densidade Aparente m/V (kg/m³)]])/1000000)</f>
        <v>7231.9848042998192</v>
      </c>
      <c r="S9" s="3">
        <v>154.33000000000001</v>
      </c>
      <c r="T9" s="3">
        <v>135.16999999999999</v>
      </c>
      <c r="U9" s="7">
        <f>((ic25_[[#This Row],[Massa amostra úmida (g)]]-ic25_[[#This Row],[Massa amostra seco (g)]])/ic25_[[#This Row],[Massa amostra úmida (g)]])</f>
        <v>0.12414954966629964</v>
      </c>
      <c r="V9" s="2">
        <f>(((ic25_[[#This Row],[Massa amostra seco (g)]]/1000)/(ic25_[[#This Row],[VOL sat (cm³)]]/1000000)))</f>
        <v>318.72199952841305</v>
      </c>
      <c r="W9" s="1">
        <v>7</v>
      </c>
      <c r="X9" s="14" t="s">
        <v>82</v>
      </c>
      <c r="Y9" t="s">
        <v>87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9">
        <v>3399.27</v>
      </c>
    </row>
    <row r="10" spans="1:36" x14ac:dyDescent="0.35">
      <c r="A10" s="4" t="s">
        <v>56</v>
      </c>
      <c r="B10" s="4" t="s">
        <v>18</v>
      </c>
      <c r="C10" s="4" t="str">
        <f t="shared" si="0"/>
        <v>25K / 206G</v>
      </c>
      <c r="D10" s="4" t="s">
        <v>33</v>
      </c>
      <c r="E10" s="2">
        <v>264.5</v>
      </c>
      <c r="F10" s="3">
        <v>89.05</v>
      </c>
      <c r="G10" s="1">
        <v>648</v>
      </c>
      <c r="H10" s="3">
        <v>89.08</v>
      </c>
      <c r="I10" s="3">
        <v>34.82</v>
      </c>
      <c r="J10" s="3">
        <v>34.700000000000003</v>
      </c>
      <c r="K10" s="1">
        <v>3220</v>
      </c>
      <c r="L10" s="3">
        <f>AVERAGE(ic25_[[#This Row],[LARGURA A]],ic25_[[#This Row],[LARGURA B]])</f>
        <v>89.064999999999998</v>
      </c>
      <c r="M10" s="3">
        <f>AVERAGE(ic25_[[#This Row],[ESPESSURA A]],ic25_[[#This Row],[ESPESSURA B]])</f>
        <v>34.760000000000005</v>
      </c>
      <c r="N10" s="3">
        <f>ic25_[[#This Row],[COMPRIMENTO (cm)]]*(ic25_[[#This Row],[LARGURA MÉD (mm)]]*100)*(ic25_[[#This Row],[ESPESSURA MÉD (mm)]]*100)</f>
        <v>8188653913.000001</v>
      </c>
      <c r="O10" s="3">
        <v>427.5</v>
      </c>
      <c r="P10" s="3">
        <f>(ic25_[[#This Row],[Massa (g)]]*1000)/(ic25_[[#This Row],[VOL (cm³)]])*1000000</f>
        <v>393.22702292840199</v>
      </c>
      <c r="Q10" s="3">
        <f>(ic25_[[#This Row],[COMPRIMENTO (cm)]]/100)/(ic25_[[#This Row],[SW]]/1000000)</f>
        <v>4081.7901234567898</v>
      </c>
      <c r="R10" s="3">
        <f>(((ic25_[[#This Row],[SW Velocidade (m/s)]]^2)*ic25_[[#This Row],[Densidade Aparente m/V (kg/m³)]])/1000000)</f>
        <v>6551.5596019153736</v>
      </c>
      <c r="S10" s="3">
        <v>157.35</v>
      </c>
      <c r="T10" s="3">
        <v>137.47999999999999</v>
      </c>
      <c r="U10" s="7">
        <f>((ic25_[[#This Row],[Massa amostra úmida (g)]]-ic25_[[#This Row],[Massa amostra seco (g)]])/ic25_[[#This Row],[Massa amostra úmida (g)]])</f>
        <v>0.1262789958690817</v>
      </c>
      <c r="V10" s="2">
        <f>(((ic25_[[#This Row],[Massa amostra seco (g)]]/1000)/(ic25_[[#This Row],[VOL sat (cm³)]]/1000000)))</f>
        <v>321.59064327485379</v>
      </c>
      <c r="W10" s="1">
        <v>10</v>
      </c>
      <c r="X10" s="14" t="s">
        <v>82</v>
      </c>
      <c r="Y10" t="s">
        <v>87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9">
        <v>4555.95</v>
      </c>
    </row>
    <row r="11" spans="1:36" x14ac:dyDescent="0.35">
      <c r="A11" s="4" t="s">
        <v>50</v>
      </c>
      <c r="B11" s="4" t="s">
        <v>12</v>
      </c>
      <c r="C11" s="4" t="str">
        <f t="shared" si="0"/>
        <v>19K / 38F</v>
      </c>
      <c r="D11" s="4" t="s">
        <v>27</v>
      </c>
      <c r="E11" s="2">
        <v>264.7</v>
      </c>
      <c r="F11" s="3">
        <v>89.1</v>
      </c>
      <c r="G11" s="1">
        <v>618</v>
      </c>
      <c r="H11" s="3">
        <v>89.08</v>
      </c>
      <c r="I11" s="3">
        <v>35.54</v>
      </c>
      <c r="J11" s="3">
        <v>35.33</v>
      </c>
      <c r="K11" s="1">
        <v>3130</v>
      </c>
      <c r="L11" s="3">
        <f>AVERAGE(ic25_[[#This Row],[LARGURA A]],ic25_[[#This Row],[LARGURA B]])</f>
        <v>89.09</v>
      </c>
      <c r="M11" s="3">
        <f>AVERAGE(ic25_[[#This Row],[ESPESSURA A]],ic25_[[#This Row],[ESPESSURA B]])</f>
        <v>35.435000000000002</v>
      </c>
      <c r="N11" s="3">
        <f>ic25_[[#This Row],[COMPRIMENTO (cm)]]*(ic25_[[#This Row],[LARGURA MÉD (mm)]]*100)*(ic25_[[#This Row],[ESPESSURA MÉD (mm)]]*100)</f>
        <v>8356325285.0499992</v>
      </c>
      <c r="O11" s="3">
        <v>420.1</v>
      </c>
      <c r="P11" s="3">
        <f>(ic25_[[#This Row],[Massa (g)]]*1000)/(ic25_[[#This Row],[VOL (cm³)]])*1000000</f>
        <v>374.56655805390562</v>
      </c>
      <c r="Q11" s="3">
        <f>(ic25_[[#This Row],[COMPRIMENTO (cm)]]/100)/(ic25_[[#This Row],[SW]]/1000000)</f>
        <v>4283.1715210355987</v>
      </c>
      <c r="R11" s="3">
        <f>(((ic25_[[#This Row],[SW Velocidade (m/s)]]^2)*ic25_[[#This Row],[Densidade Aparente m/V (kg/m³)]])/1000000)</f>
        <v>6871.6326199964333</v>
      </c>
      <c r="S11" s="3">
        <v>144.49</v>
      </c>
      <c r="T11" s="3">
        <v>126.87</v>
      </c>
      <c r="U11" s="7">
        <f>((ic25_[[#This Row],[Massa amostra úmida (g)]]-ic25_[[#This Row],[Massa amostra seco (g)]])/ic25_[[#This Row],[Massa amostra úmida (g)]])</f>
        <v>0.1219461554432833</v>
      </c>
      <c r="V11" s="2">
        <f>(((ic25_[[#This Row],[Massa amostra seco (g)]]/1000)/(ic25_[[#This Row],[VOL sat (cm³)]]/1000000)))</f>
        <v>301.99952392287554</v>
      </c>
      <c r="W11" s="1">
        <v>9</v>
      </c>
      <c r="X11" s="14" t="s">
        <v>82</v>
      </c>
      <c r="Y11" t="s">
        <v>87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9">
        <v>5748.24</v>
      </c>
    </row>
    <row r="12" spans="1:36" x14ac:dyDescent="0.35">
      <c r="A12" s="4" t="s">
        <v>47</v>
      </c>
      <c r="B12" s="4" t="s">
        <v>9</v>
      </c>
      <c r="C12" s="4" t="str">
        <f t="shared" si="0"/>
        <v>16K / 49F</v>
      </c>
      <c r="D12" s="4" t="s">
        <v>24</v>
      </c>
      <c r="E12" s="2">
        <v>264.39999999999998</v>
      </c>
      <c r="F12" s="3">
        <v>89.15</v>
      </c>
      <c r="G12" s="1">
        <v>688</v>
      </c>
      <c r="H12" s="3">
        <v>88.7</v>
      </c>
      <c r="I12" s="3">
        <v>35.17</v>
      </c>
      <c r="J12" s="3">
        <v>35.06</v>
      </c>
      <c r="K12" s="1">
        <v>3200</v>
      </c>
      <c r="L12" s="3">
        <f>AVERAGE(ic25_[[#This Row],[LARGURA A]],ic25_[[#This Row],[LARGURA B]])</f>
        <v>88.925000000000011</v>
      </c>
      <c r="M12" s="3">
        <f>AVERAGE(ic25_[[#This Row],[ESPESSURA A]],ic25_[[#This Row],[ESPESSURA B]])</f>
        <v>35.115000000000002</v>
      </c>
      <c r="N12" s="3">
        <f>ic25_[[#This Row],[COMPRIMENTO (cm)]]*(ic25_[[#This Row],[LARGURA MÉD (mm)]]*100)*(ic25_[[#This Row],[ESPESSURA MÉD (mm)]]*100)</f>
        <v>8256158035.5000019</v>
      </c>
      <c r="O12" s="3">
        <v>418</v>
      </c>
      <c r="P12" s="3">
        <f>(ic25_[[#This Row],[Massa (g)]]*1000)/(ic25_[[#This Row],[VOL (cm³)]])*1000000</f>
        <v>387.58948002697775</v>
      </c>
      <c r="Q12" s="3">
        <f>(ic25_[[#This Row],[COMPRIMENTO (cm)]]/100)/(ic25_[[#This Row],[SW]]/1000000)</f>
        <v>3843.0232558139528</v>
      </c>
      <c r="R12" s="3">
        <f>(((ic25_[[#This Row],[SW Velocidade (m/s)]]^2)*ic25_[[#This Row],[Densidade Aparente m/V (kg/m³)]])/1000000)</f>
        <v>5724.2422661866913</v>
      </c>
      <c r="S12" s="3">
        <v>149.24</v>
      </c>
      <c r="T12" s="3">
        <v>130.78</v>
      </c>
      <c r="U12" s="7">
        <f>((ic25_[[#This Row],[Massa amostra úmida (g)]]-ic25_[[#This Row],[Massa amostra seco (g)]])/ic25_[[#This Row],[Massa amostra úmida (g)]])</f>
        <v>0.12369337979094082</v>
      </c>
      <c r="V12" s="2">
        <f>(((ic25_[[#This Row],[Massa amostra seco (g)]]/1000)/(ic25_[[#This Row],[VOL sat (cm³)]]/1000000)))</f>
        <v>312.87081339712921</v>
      </c>
      <c r="W12" s="1">
        <v>7</v>
      </c>
      <c r="X12" s="14" t="s">
        <v>82</v>
      </c>
      <c r="Y12" t="s">
        <v>86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9">
        <v>2823.73</v>
      </c>
    </row>
    <row r="13" spans="1:36" x14ac:dyDescent="0.35">
      <c r="A13" s="4" t="s">
        <v>52</v>
      </c>
      <c r="B13" s="4" t="s">
        <v>14</v>
      </c>
      <c r="C13" s="4" t="str">
        <f t="shared" si="0"/>
        <v>21K / 57F</v>
      </c>
      <c r="D13" s="4" t="s">
        <v>29</v>
      </c>
      <c r="E13" s="2">
        <v>262.3</v>
      </c>
      <c r="F13" s="3">
        <v>89.16</v>
      </c>
      <c r="G13" s="1">
        <v>660</v>
      </c>
      <c r="H13" s="3">
        <v>89.05</v>
      </c>
      <c r="I13" s="3">
        <v>34.72</v>
      </c>
      <c r="J13" s="3">
        <v>34.700000000000003</v>
      </c>
      <c r="K13" s="1">
        <v>3355</v>
      </c>
      <c r="L13" s="3">
        <f>AVERAGE(ic25_[[#This Row],[LARGURA A]],ic25_[[#This Row],[LARGURA B]])</f>
        <v>89.10499999999999</v>
      </c>
      <c r="M13" s="3">
        <f>AVERAGE(ic25_[[#This Row],[ESPESSURA A]],ic25_[[#This Row],[ESPESSURA B]])</f>
        <v>34.71</v>
      </c>
      <c r="N13" s="3">
        <f>ic25_[[#This Row],[COMPRIMENTO (cm)]]*(ic25_[[#This Row],[LARGURA MÉD (mm)]]*100)*(ic25_[[#This Row],[ESPESSURA MÉD (mm)]]*100)</f>
        <v>8112505024.6499977</v>
      </c>
      <c r="O13" s="3">
        <v>419.3</v>
      </c>
      <c r="P13" s="3">
        <f>(ic25_[[#This Row],[Massa (g)]]*1000)/(ic25_[[#This Row],[VOL (cm³)]])*1000000</f>
        <v>413.55906588726538</v>
      </c>
      <c r="Q13" s="3">
        <f>(ic25_[[#This Row],[COMPRIMENTO (cm)]]/100)/(ic25_[[#This Row],[SW]]/1000000)</f>
        <v>3974.2424242424245</v>
      </c>
      <c r="R13" s="3">
        <f>(((ic25_[[#This Row],[SW Velocidade (m/s)]]^2)*ic25_[[#This Row],[Densidade Aparente m/V (kg/m³)]])/1000000)</f>
        <v>6532.0011993202152</v>
      </c>
      <c r="S13" s="3">
        <v>152.41999999999999</v>
      </c>
      <c r="T13" s="3">
        <v>133.30000000000001</v>
      </c>
      <c r="U13" s="7">
        <f>((ic25_[[#This Row],[Massa amostra úmida (g)]]-ic25_[[#This Row],[Massa amostra seco (g)]])/ic25_[[#This Row],[Massa amostra úmida (g)]])</f>
        <v>0.12544285526833734</v>
      </c>
      <c r="V13" s="2">
        <f>(((ic25_[[#This Row],[Massa amostra seco (g)]]/1000)/(ic25_[[#This Row],[VOL sat (cm³)]]/1000000)))</f>
        <v>317.91080372048651</v>
      </c>
      <c r="W13" s="1">
        <v>8</v>
      </c>
      <c r="X13" s="14" t="s">
        <v>82</v>
      </c>
      <c r="Y13" t="s">
        <v>87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9">
        <v>3295.83</v>
      </c>
    </row>
    <row r="14" spans="1:36" x14ac:dyDescent="0.35">
      <c r="A14" s="4" t="s">
        <v>58</v>
      </c>
      <c r="B14" s="4" t="s">
        <v>20</v>
      </c>
      <c r="C14" s="4" t="str">
        <f t="shared" si="0"/>
        <v>27K / 59F</v>
      </c>
      <c r="D14" s="4" t="s">
        <v>35</v>
      </c>
      <c r="E14" s="2">
        <v>267</v>
      </c>
      <c r="F14" s="3">
        <v>88.99</v>
      </c>
      <c r="G14" s="1">
        <v>591</v>
      </c>
      <c r="H14" s="3">
        <v>89.15</v>
      </c>
      <c r="I14" s="3">
        <v>34.520000000000003</v>
      </c>
      <c r="J14" s="3">
        <v>34.520000000000003</v>
      </c>
      <c r="K14" s="1">
        <v>3895</v>
      </c>
      <c r="L14" s="3">
        <f>AVERAGE(ic25_[[#This Row],[LARGURA A]],ic25_[[#This Row],[LARGURA B]])</f>
        <v>89.07</v>
      </c>
      <c r="M14" s="3">
        <f>AVERAGE(ic25_[[#This Row],[ESPESSURA A]],ic25_[[#This Row],[ESPESSURA B]])</f>
        <v>34.520000000000003</v>
      </c>
      <c r="N14" s="3">
        <f>ic25_[[#This Row],[COMPRIMENTO (cm)]]*(ic25_[[#This Row],[LARGURA MÉD (mm)]]*100)*(ic25_[[#This Row],[ESPESSURA MÉD (mm)]]*100)</f>
        <v>8209439388.000001</v>
      </c>
      <c r="O14" s="3">
        <v>419.8</v>
      </c>
      <c r="P14" s="3">
        <f>(ic25_[[#This Row],[Massa (g)]]*1000)/(ic25_[[#This Row],[VOL (cm³)]])*1000000</f>
        <v>474.45383489808643</v>
      </c>
      <c r="Q14" s="3">
        <f>(ic25_[[#This Row],[COMPRIMENTO (cm)]]/100)/(ic25_[[#This Row],[SW]]/1000000)</f>
        <v>4517.7664974619283</v>
      </c>
      <c r="R14" s="3">
        <f>(((ic25_[[#This Row],[SW Velocidade (m/s)]]^2)*ic25_[[#This Row],[Densidade Aparente m/V (kg/m³)]])/1000000)</f>
        <v>9683.7043629769942</v>
      </c>
      <c r="S14" s="3">
        <v>183.28</v>
      </c>
      <c r="T14" s="3">
        <v>160.9</v>
      </c>
      <c r="U14" s="7">
        <f>((ic25_[[#This Row],[Massa amostra úmida (g)]]-ic25_[[#This Row],[Massa amostra seco (g)]])/ic25_[[#This Row],[Massa amostra úmida (g)]])</f>
        <v>0.12210824967263201</v>
      </c>
      <c r="V14" s="2">
        <f>(((ic25_[[#This Row],[Massa amostra seco (g)]]/1000)/(ic25_[[#This Row],[VOL sat (cm³)]]/1000000)))</f>
        <v>383.27775131014772</v>
      </c>
      <c r="W14" s="1">
        <v>10</v>
      </c>
      <c r="X14" s="14" t="s">
        <v>82</v>
      </c>
      <c r="Y14" t="s">
        <v>87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9">
        <v>3875.93</v>
      </c>
    </row>
    <row r="15" spans="1:36" x14ac:dyDescent="0.35">
      <c r="A15" s="4" t="s">
        <v>48</v>
      </c>
      <c r="B15" s="4" t="s">
        <v>10</v>
      </c>
      <c r="C15" s="4" t="str">
        <f t="shared" si="0"/>
        <v>17K / 65F</v>
      </c>
      <c r="D15" s="4" t="s">
        <v>25</v>
      </c>
      <c r="E15" s="2">
        <v>263</v>
      </c>
      <c r="F15" s="3">
        <v>89.26</v>
      </c>
      <c r="G15" s="1">
        <v>662</v>
      </c>
      <c r="H15" s="3">
        <v>88.85</v>
      </c>
      <c r="I15" s="3">
        <v>34.82</v>
      </c>
      <c r="J15" s="3">
        <v>35.03</v>
      </c>
      <c r="K15" s="1">
        <v>3535</v>
      </c>
      <c r="L15" s="3">
        <f>AVERAGE(ic25_[[#This Row],[LARGURA A]],ic25_[[#This Row],[LARGURA B]])</f>
        <v>89.055000000000007</v>
      </c>
      <c r="M15" s="3">
        <f>AVERAGE(ic25_[[#This Row],[ESPESSURA A]],ic25_[[#This Row],[ESPESSURA B]])</f>
        <v>34.924999999999997</v>
      </c>
      <c r="N15" s="3">
        <f>ic25_[[#This Row],[COMPRIMENTO (cm)]]*(ic25_[[#This Row],[LARGURA MÉD (mm)]]*100)*(ic25_[[#This Row],[ESPESSURA MÉD (mm)]]*100)</f>
        <v>8179946651.249999</v>
      </c>
      <c r="O15" s="3">
        <v>411.4</v>
      </c>
      <c r="P15" s="3">
        <f>(ic25_[[#This Row],[Massa (g)]]*1000)/(ic25_[[#This Row],[VOL (cm³)]])*1000000</f>
        <v>432.15440768917574</v>
      </c>
      <c r="Q15" s="3">
        <f>(ic25_[[#This Row],[COMPRIMENTO (cm)]]/100)/(ic25_[[#This Row],[SW]]/1000000)</f>
        <v>3972.8096676737155</v>
      </c>
      <c r="R15" s="3">
        <f>(((ic25_[[#This Row],[SW Velocidade (m/s)]]^2)*ic25_[[#This Row],[Densidade Aparente m/V (kg/m³)]])/1000000)</f>
        <v>6820.7866452142162</v>
      </c>
      <c r="S15" s="3">
        <v>151.91</v>
      </c>
      <c r="T15" s="3">
        <v>132.58000000000001</v>
      </c>
      <c r="U15" s="7">
        <f>((ic25_[[#This Row],[Massa amostra úmida (g)]]-ic25_[[#This Row],[Massa amostra seco (g)]])/ic25_[[#This Row],[Massa amostra úmida (g)]])</f>
        <v>0.12724639589230455</v>
      </c>
      <c r="V15" s="2">
        <f>(((ic25_[[#This Row],[Massa amostra seco (g)]]/1000)/(ic25_[[#This Row],[VOL sat (cm³)]]/1000000)))</f>
        <v>322.26543509965973</v>
      </c>
      <c r="W15" s="1">
        <v>6</v>
      </c>
      <c r="X15" s="14" t="s">
        <v>82</v>
      </c>
      <c r="Y15" t="s">
        <v>86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9">
        <v>3448.97</v>
      </c>
    </row>
    <row r="16" spans="1:36" x14ac:dyDescent="0.35">
      <c r="A16" s="4" t="s">
        <v>57</v>
      </c>
      <c r="B16" s="4" t="s">
        <v>19</v>
      </c>
      <c r="C16" s="4" t="str">
        <f t="shared" si="0"/>
        <v>26K / 81F</v>
      </c>
      <c r="D16" s="4" t="s">
        <v>34</v>
      </c>
      <c r="E16" s="2">
        <v>263</v>
      </c>
      <c r="F16" s="3">
        <v>89.15</v>
      </c>
      <c r="G16" s="1">
        <v>675</v>
      </c>
      <c r="H16" s="3">
        <v>89.02</v>
      </c>
      <c r="I16" s="3">
        <v>34.869999999999997</v>
      </c>
      <c r="J16" s="3">
        <v>34.82</v>
      </c>
      <c r="K16" s="1">
        <v>3310</v>
      </c>
      <c r="L16" s="3">
        <f>AVERAGE(ic25_[[#This Row],[LARGURA A]],ic25_[[#This Row],[LARGURA B]])</f>
        <v>89.085000000000008</v>
      </c>
      <c r="M16" s="3">
        <f>AVERAGE(ic25_[[#This Row],[ESPESSURA A]],ic25_[[#This Row],[ESPESSURA B]])</f>
        <v>34.844999999999999</v>
      </c>
      <c r="N16" s="3">
        <f>ic25_[[#This Row],[COMPRIMENTO (cm)]]*(ic25_[[#This Row],[LARGURA MÉD (mm)]]*100)*(ic25_[[#This Row],[ESPESSURA MÉD (mm)]]*100)</f>
        <v>8163958749.75</v>
      </c>
      <c r="O16" s="3">
        <v>417.9</v>
      </c>
      <c r="P16" s="3">
        <f>(ic25_[[#This Row],[Massa (g)]]*1000)/(ic25_[[#This Row],[VOL (cm³)]])*1000000</f>
        <v>405.44055910392245</v>
      </c>
      <c r="Q16" s="3">
        <f>(ic25_[[#This Row],[COMPRIMENTO (cm)]]/100)/(ic25_[[#This Row],[SW]]/1000000)</f>
        <v>3896.2962962962961</v>
      </c>
      <c r="R16" s="3">
        <f>(((ic25_[[#This Row],[SW Velocidade (m/s)]]^2)*ic25_[[#This Row],[Densidade Aparente m/V (kg/m³)]])/1000000)</f>
        <v>6155.0437383065482</v>
      </c>
      <c r="S16" s="3">
        <v>155.15</v>
      </c>
      <c r="T16" s="3">
        <v>135.6</v>
      </c>
      <c r="U16" s="7">
        <f>((ic25_[[#This Row],[Massa amostra úmida (g)]]-ic25_[[#This Row],[Massa amostra seco (g)]])/ic25_[[#This Row],[Massa amostra úmida (g)]])</f>
        <v>0.12600708991298751</v>
      </c>
      <c r="V16" s="2">
        <f>(((ic25_[[#This Row],[Massa amostra seco (g)]]/1000)/(ic25_[[#This Row],[VOL sat (cm³)]]/1000000)))</f>
        <v>324.47954055994262</v>
      </c>
      <c r="W16" s="1">
        <v>9</v>
      </c>
      <c r="X16" s="14" t="s">
        <v>82</v>
      </c>
      <c r="Y16" t="s">
        <v>86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9">
        <v>4228.1899999999996</v>
      </c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C2DD-095F-4FD0-AB25-AB02AC38C7B4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A8E5C-B90D-4125-8F78-DEF91FBF44B9}">
  <dimension ref="A1:H21"/>
  <sheetViews>
    <sheetView zoomScaleNormal="100" workbookViewId="0">
      <selection activeCell="H1" sqref="H1"/>
    </sheetView>
  </sheetViews>
  <sheetFormatPr defaultRowHeight="14.5" x14ac:dyDescent="0.35"/>
  <cols>
    <col min="1" max="1" width="9.6328125" bestFit="1" customWidth="1"/>
    <col min="2" max="2" width="15.36328125" hidden="1" customWidth="1"/>
    <col min="3" max="3" width="21.90625" hidden="1" customWidth="1"/>
    <col min="4" max="4" width="13.54296875" bestFit="1" customWidth="1"/>
    <col min="5" max="5" width="11.36328125" bestFit="1" customWidth="1"/>
    <col min="6" max="7" width="13.453125" bestFit="1" customWidth="1"/>
  </cols>
  <sheetData>
    <row r="1" spans="1:8" ht="15" thickBot="1" x14ac:dyDescent="0.4">
      <c r="A1" s="8" t="s">
        <v>80</v>
      </c>
      <c r="B1" s="8" t="s">
        <v>68</v>
      </c>
      <c r="C1" s="8" t="s">
        <v>69</v>
      </c>
      <c r="D1" s="8" t="s">
        <v>70</v>
      </c>
      <c r="E1" s="8" t="s">
        <v>71</v>
      </c>
      <c r="F1" s="8" t="s">
        <v>72</v>
      </c>
      <c r="G1" s="8" t="s">
        <v>73</v>
      </c>
      <c r="H1" s="8" t="s">
        <v>74</v>
      </c>
    </row>
    <row r="2" spans="1:8" x14ac:dyDescent="0.35">
      <c r="A2" s="11" t="s">
        <v>46</v>
      </c>
      <c r="B2" s="9">
        <v>34.04</v>
      </c>
      <c r="C2" s="9">
        <v>89.22</v>
      </c>
      <c r="D2" s="9">
        <v>242.45</v>
      </c>
      <c r="E2" s="9">
        <v>2.54</v>
      </c>
      <c r="F2" s="9">
        <v>24.24</v>
      </c>
      <c r="G2" s="9">
        <v>96.98</v>
      </c>
      <c r="H2" s="9">
        <v>3829.95</v>
      </c>
    </row>
    <row r="3" spans="1:8" x14ac:dyDescent="0.35">
      <c r="A3" s="12" t="s">
        <v>47</v>
      </c>
      <c r="B3" s="9">
        <v>35.119999999999997</v>
      </c>
      <c r="C3" s="9">
        <v>88.93</v>
      </c>
      <c r="D3" s="9">
        <v>596.95000000000005</v>
      </c>
      <c r="E3" s="9">
        <v>6.09</v>
      </c>
      <c r="F3" s="9">
        <v>59.7</v>
      </c>
      <c r="G3" s="9">
        <v>238.78</v>
      </c>
      <c r="H3" s="9">
        <v>3676.59</v>
      </c>
    </row>
    <row r="4" spans="1:8" x14ac:dyDescent="0.35">
      <c r="A4" s="11" t="s">
        <v>48</v>
      </c>
      <c r="B4" s="9">
        <v>34.93</v>
      </c>
      <c r="C4" s="9">
        <v>89.06</v>
      </c>
      <c r="D4" s="9">
        <v>268.20999999999998</v>
      </c>
      <c r="E4" s="9">
        <v>2.74</v>
      </c>
      <c r="F4" s="9">
        <v>26.82</v>
      </c>
      <c r="G4" s="9">
        <v>107.28</v>
      </c>
      <c r="H4" s="9">
        <v>3220.63</v>
      </c>
    </row>
    <row r="5" spans="1:8" x14ac:dyDescent="0.35">
      <c r="A5" s="12" t="s">
        <v>49</v>
      </c>
      <c r="B5" s="9">
        <v>34.799999999999997</v>
      </c>
      <c r="C5" s="9">
        <v>88.95</v>
      </c>
      <c r="D5" s="9">
        <v>552.86</v>
      </c>
      <c r="E5" s="9">
        <v>5.69</v>
      </c>
      <c r="F5" s="9">
        <v>55.29</v>
      </c>
      <c r="G5" s="9">
        <v>221.14</v>
      </c>
      <c r="H5" s="9">
        <v>5254.93</v>
      </c>
    </row>
    <row r="6" spans="1:8" x14ac:dyDescent="0.35">
      <c r="A6" s="11" t="s">
        <v>50</v>
      </c>
      <c r="B6" s="9">
        <v>35.44</v>
      </c>
      <c r="C6" s="9">
        <v>89.09</v>
      </c>
      <c r="D6" s="9">
        <v>332.06</v>
      </c>
      <c r="E6" s="9">
        <v>3.35</v>
      </c>
      <c r="F6" s="9">
        <v>33.21</v>
      </c>
      <c r="G6" s="9">
        <v>132.83000000000001</v>
      </c>
      <c r="H6" s="9">
        <v>3622.22</v>
      </c>
    </row>
    <row r="7" spans="1:8" x14ac:dyDescent="0.35">
      <c r="A7" s="12" t="s">
        <v>51</v>
      </c>
      <c r="B7" s="9">
        <v>34.86</v>
      </c>
      <c r="C7" s="9">
        <v>89.11</v>
      </c>
      <c r="D7" s="9">
        <v>781.24</v>
      </c>
      <c r="E7" s="9">
        <v>8</v>
      </c>
      <c r="F7" s="9">
        <v>78.12</v>
      </c>
      <c r="G7" s="9">
        <v>312.5</v>
      </c>
      <c r="H7" s="9">
        <v>4231.29</v>
      </c>
    </row>
    <row r="8" spans="1:8" x14ac:dyDescent="0.35">
      <c r="A8" s="11" t="s">
        <v>52</v>
      </c>
      <c r="B8" s="9">
        <v>34.71</v>
      </c>
      <c r="C8" s="9">
        <v>89.11</v>
      </c>
      <c r="D8" s="9">
        <v>528.52</v>
      </c>
      <c r="E8" s="9">
        <v>5.44</v>
      </c>
      <c r="F8" s="9">
        <v>52.85</v>
      </c>
      <c r="G8" s="9">
        <v>211.41</v>
      </c>
      <c r="H8" s="9">
        <v>3097.46</v>
      </c>
    </row>
    <row r="9" spans="1:8" x14ac:dyDescent="0.35">
      <c r="A9" s="12" t="s">
        <v>53</v>
      </c>
      <c r="B9" s="9">
        <v>34.65</v>
      </c>
      <c r="C9" s="9">
        <v>88.95</v>
      </c>
      <c r="D9" s="9">
        <v>132.91999999999999</v>
      </c>
      <c r="E9" s="9">
        <v>1.37</v>
      </c>
      <c r="F9" s="9">
        <v>13.29</v>
      </c>
      <c r="G9" s="9">
        <v>53.17</v>
      </c>
      <c r="H9" s="9">
        <v>3399.27</v>
      </c>
    </row>
    <row r="10" spans="1:8" x14ac:dyDescent="0.35">
      <c r="A10" s="11" t="s">
        <v>54</v>
      </c>
      <c r="B10" s="9">
        <v>34.94</v>
      </c>
      <c r="C10" s="9">
        <v>88.71</v>
      </c>
      <c r="D10" s="9">
        <v>433.37</v>
      </c>
      <c r="E10" s="9">
        <v>4.47</v>
      </c>
      <c r="F10" s="9">
        <v>43.34</v>
      </c>
      <c r="G10" s="9">
        <v>173.35</v>
      </c>
      <c r="H10" s="9">
        <v>4555.95</v>
      </c>
    </row>
    <row r="11" spans="1:8" x14ac:dyDescent="0.35">
      <c r="A11" s="12" t="s">
        <v>55</v>
      </c>
      <c r="B11" s="9">
        <v>34.93</v>
      </c>
      <c r="C11" s="9">
        <v>89.18</v>
      </c>
      <c r="D11" s="9">
        <v>354.82</v>
      </c>
      <c r="E11" s="9">
        <v>3.62</v>
      </c>
      <c r="F11" s="9">
        <v>35.479999999999997</v>
      </c>
      <c r="G11" s="9">
        <v>141.93</v>
      </c>
      <c r="H11" s="9">
        <v>5748.24</v>
      </c>
    </row>
    <row r="12" spans="1:8" x14ac:dyDescent="0.35">
      <c r="A12" s="11" t="s">
        <v>56</v>
      </c>
      <c r="B12" s="9">
        <v>34.76</v>
      </c>
      <c r="C12" s="9">
        <v>89.07</v>
      </c>
      <c r="D12" s="9">
        <v>259.68</v>
      </c>
      <c r="E12" s="9">
        <v>2.67</v>
      </c>
      <c r="F12" s="9">
        <v>25.97</v>
      </c>
      <c r="G12" s="9">
        <v>103.87</v>
      </c>
      <c r="H12" s="9">
        <v>2823.73</v>
      </c>
    </row>
    <row r="13" spans="1:8" x14ac:dyDescent="0.35">
      <c r="A13" s="12" t="s">
        <v>57</v>
      </c>
      <c r="B13" s="9">
        <v>34.85</v>
      </c>
      <c r="C13" s="9">
        <v>89.09</v>
      </c>
      <c r="D13" s="9">
        <v>454.24</v>
      </c>
      <c r="E13" s="9">
        <v>4.66</v>
      </c>
      <c r="F13" s="9">
        <v>45.42</v>
      </c>
      <c r="G13" s="9">
        <v>181.69</v>
      </c>
      <c r="H13" s="9">
        <v>3295.83</v>
      </c>
    </row>
    <row r="14" spans="1:8" x14ac:dyDescent="0.35">
      <c r="A14" s="11" t="s">
        <v>58</v>
      </c>
      <c r="B14" s="9">
        <v>34.520000000000003</v>
      </c>
      <c r="C14" s="9">
        <v>89.07</v>
      </c>
      <c r="D14" s="9">
        <v>168.01</v>
      </c>
      <c r="E14" s="9">
        <v>1.74</v>
      </c>
      <c r="F14" s="9">
        <v>16.8</v>
      </c>
      <c r="G14" s="9">
        <v>67.2</v>
      </c>
      <c r="H14" s="9">
        <v>3875.93</v>
      </c>
    </row>
    <row r="15" spans="1:8" x14ac:dyDescent="0.35">
      <c r="A15" s="12" t="s">
        <v>59</v>
      </c>
      <c r="B15" s="9">
        <v>34.68</v>
      </c>
      <c r="C15" s="9">
        <v>88.94</v>
      </c>
      <c r="D15" s="9">
        <v>380.74</v>
      </c>
      <c r="E15" s="9">
        <v>3.93</v>
      </c>
      <c r="F15" s="9">
        <v>38.07</v>
      </c>
      <c r="G15" s="9">
        <v>152.30000000000001</v>
      </c>
      <c r="H15" s="9">
        <v>3448.97</v>
      </c>
    </row>
    <row r="16" spans="1:8" x14ac:dyDescent="0.35">
      <c r="A16" s="11" t="s">
        <v>60</v>
      </c>
      <c r="B16" s="9">
        <v>35</v>
      </c>
      <c r="C16" s="9">
        <v>88.91</v>
      </c>
      <c r="D16" s="9">
        <v>440.8</v>
      </c>
      <c r="E16" s="9">
        <v>4.5199999999999996</v>
      </c>
      <c r="F16" s="9">
        <v>44.08</v>
      </c>
      <c r="G16" s="9">
        <v>176.32</v>
      </c>
      <c r="H16" s="9">
        <v>4228.1899999999996</v>
      </c>
    </row>
    <row r="17" spans="1:8" x14ac:dyDescent="0.35">
      <c r="A17" s="10" t="s">
        <v>75</v>
      </c>
      <c r="B17" s="10">
        <v>15</v>
      </c>
      <c r="C17" s="10">
        <v>15</v>
      </c>
      <c r="D17" s="10">
        <v>15</v>
      </c>
      <c r="E17" s="10">
        <v>15</v>
      </c>
      <c r="F17" s="10">
        <v>15</v>
      </c>
      <c r="G17" s="10">
        <v>15</v>
      </c>
      <c r="H17" s="10">
        <v>15</v>
      </c>
    </row>
    <row r="18" spans="1:8" x14ac:dyDescent="0.35">
      <c r="A18" s="10" t="s">
        <v>76</v>
      </c>
      <c r="B18" s="10">
        <v>34.82</v>
      </c>
      <c r="C18" s="10">
        <v>89.03</v>
      </c>
      <c r="D18" s="10">
        <v>395.1</v>
      </c>
      <c r="E18" s="10">
        <v>4.0549999999999997</v>
      </c>
      <c r="F18" s="10">
        <v>39.51</v>
      </c>
      <c r="G18" s="10">
        <v>158</v>
      </c>
      <c r="H18" s="10">
        <v>3887</v>
      </c>
    </row>
    <row r="19" spans="1:8" x14ac:dyDescent="0.35">
      <c r="A19" s="10" t="s">
        <v>77</v>
      </c>
      <c r="B19" s="10">
        <v>0.30599999999999999</v>
      </c>
      <c r="C19" s="10">
        <v>0.12820000000000001</v>
      </c>
      <c r="D19" s="10">
        <v>173.9</v>
      </c>
      <c r="E19" s="10">
        <v>1.778</v>
      </c>
      <c r="F19" s="10">
        <v>17.39</v>
      </c>
      <c r="G19" s="10">
        <v>69.569999999999993</v>
      </c>
      <c r="H19" s="10">
        <v>806.8</v>
      </c>
    </row>
    <row r="20" spans="1:8" x14ac:dyDescent="0.35">
      <c r="A20" s="10" t="s">
        <v>78</v>
      </c>
      <c r="B20" s="10">
        <v>34.04</v>
      </c>
      <c r="C20" s="10">
        <v>88.71</v>
      </c>
      <c r="D20" s="10">
        <v>132.9</v>
      </c>
      <c r="E20" s="10">
        <v>1.375</v>
      </c>
      <c r="F20" s="10">
        <v>13.29</v>
      </c>
      <c r="G20" s="10">
        <v>53.17</v>
      </c>
      <c r="H20" s="10">
        <v>2824</v>
      </c>
    </row>
    <row r="21" spans="1:8" x14ac:dyDescent="0.35">
      <c r="A21" s="10" t="s">
        <v>79</v>
      </c>
      <c r="B21" s="10">
        <v>35.44</v>
      </c>
      <c r="C21" s="10">
        <v>89.22</v>
      </c>
      <c r="D21" s="10">
        <v>781.2</v>
      </c>
      <c r="E21" s="10">
        <v>8.0009999999999994</v>
      </c>
      <c r="F21" s="10">
        <v>78.12</v>
      </c>
      <c r="G21" s="10">
        <v>312.5</v>
      </c>
      <c r="H21" s="10">
        <v>5748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pva24</vt:lpstr>
      <vt:lpstr>comparação pva24 - ic25</vt:lpstr>
      <vt:lpstr>ic25</vt:lpstr>
      <vt:lpstr>Gráficos</vt:lpstr>
      <vt:lpstr>Ensaio Mec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Almeida Negrini</dc:creator>
  <cp:lastModifiedBy>Fernando Almeida Negrini</cp:lastModifiedBy>
  <dcterms:created xsi:type="dcterms:W3CDTF">2025-06-30T19:51:35Z</dcterms:created>
  <dcterms:modified xsi:type="dcterms:W3CDTF">2026-01-07T03:16:10Z</dcterms:modified>
</cp:coreProperties>
</file>